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6.xml" ContentType="application/vnd.ms-excel.threadedcomments+xml"/>
  <Override PartName="/xl/threadedComments/threadedComment7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ca\Desktop\MMMPO\MTP Update\"/>
    </mc:Choice>
  </mc:AlternateContent>
  <xr:revisionPtr revIDLastSave="0" documentId="8_{99B34DF8-1890-4706-8B7C-593B57F7B127}" xr6:coauthVersionLast="47" xr6:coauthVersionMax="47" xr10:uidLastSave="{00000000-0000-0000-0000-000000000000}"/>
  <bookViews>
    <workbookView xWindow="4548" yWindow="2064" windowWidth="17148" windowHeight="9888" firstSheet="4" activeTab="10" xr2:uid="{3B82B33A-8D2C-4627-B0B4-F8ACA2540B71}"/>
  </bookViews>
  <sheets>
    <sheet name="Maintenance" sheetId="6" state="hidden" r:id="rId1"/>
    <sheet name="TIP_Oct21" sheetId="1" state="hidden" r:id="rId2"/>
    <sheet name="Completed" sheetId="5" state="hidden" r:id="rId3"/>
    <sheet name="dropped" sheetId="4" state="hidden" r:id="rId4"/>
    <sheet name="MTP_points" sheetId="2" r:id="rId5"/>
    <sheet name="MTP_lines-polygons" sheetId="3" r:id="rId6"/>
    <sheet name="PLOTtable" sheetId="7" state="hidden" r:id="rId7"/>
    <sheet name="EvalCrit" sheetId="10" state="hidden" r:id="rId8"/>
    <sheet name="PRIORITIZATION" sheetId="9" r:id="rId9"/>
    <sheet name="UnitCostEst" sheetId="11" state="hidden" r:id="rId10"/>
    <sheet name="Tiers" sheetId="12" r:id="rId11"/>
    <sheet name="AppC1" sheetId="8" state="hidden" r:id="rId12"/>
  </sheets>
  <definedNames>
    <definedName name="_edn1" localSheetId="3">dropped!#REF!</definedName>
    <definedName name="_edn1" localSheetId="0">Maintenance!#REF!</definedName>
    <definedName name="_edn1" localSheetId="1">TIP_Oct21!#REF!</definedName>
    <definedName name="_edn2" localSheetId="3">dropped!#REF!</definedName>
    <definedName name="_edn2" localSheetId="0">Maintenance!#REF!</definedName>
    <definedName name="_edn2" localSheetId="1">TIP_Oct21!#REF!</definedName>
    <definedName name="_edn3" localSheetId="3">dropped!#REF!</definedName>
    <definedName name="_edn3" localSheetId="0">Maintenance!#REF!</definedName>
    <definedName name="_edn3" localSheetId="1">TIP_Oct21!#REF!</definedName>
    <definedName name="_ednref1" localSheetId="3">dropped!$R$1</definedName>
    <definedName name="_ednref1" localSheetId="0">Maintenance!#REF!</definedName>
    <definedName name="_ednref1" localSheetId="1">TIP_Oct21!#REF!</definedName>
    <definedName name="_ednref2" localSheetId="3">dropped!$S$1</definedName>
    <definedName name="_ednref2" localSheetId="0">Maintenance!#REF!</definedName>
    <definedName name="_ednref2" localSheetId="1">TIP_Oct21!#REF!</definedName>
    <definedName name="_ednref3" localSheetId="3">dropped!$T$1</definedName>
    <definedName name="_ednref3" localSheetId="0">Maintenance!#REF!</definedName>
    <definedName name="_ednref3" localSheetId="1">TIP_Oct21!#REF!</definedName>
    <definedName name="_xlnm._FilterDatabase" localSheetId="2" hidden="1">Completed!$A$2:$K$88</definedName>
    <definedName name="_xlnm._FilterDatabase" localSheetId="3" hidden="1">dropped!$A$1:$AA$25</definedName>
    <definedName name="_xlnm._FilterDatabase" localSheetId="0" hidden="1">Maintenance!$A$1:$W$30</definedName>
    <definedName name="_xlnm._FilterDatabase" localSheetId="5" hidden="1">'MTP_lines-polygons'!$A$1:$AI$80</definedName>
    <definedName name="_xlnm._FilterDatabase" localSheetId="4" hidden="1">MTP_points!$A$1:$AB$22</definedName>
    <definedName name="_xlnm._FilterDatabase" localSheetId="8" hidden="1">PRIORITIZATION!$A$3:$BW$94</definedName>
    <definedName name="_xlnm._FilterDatabase" localSheetId="10" hidden="1">Tiers!$A$2:$R$95</definedName>
    <definedName name="_xlnm._FilterDatabase" localSheetId="1" hidden="1">TIP_Oct21!$A$1:$AC$33</definedName>
    <definedName name="_Hlk54792848" localSheetId="3">dropped!$C$17</definedName>
    <definedName name="_Hlk54792848" localSheetId="0">Maintenance!#REF!</definedName>
    <definedName name="_Hlk54792848" localSheetId="1">TIP_Oct21!#REF!</definedName>
    <definedName name="_xlnm.Print_Area" localSheetId="11">AppC1!$A$1:$J$129</definedName>
    <definedName name="_xlnm.Print_Area" localSheetId="6">PLOTtable!$A$1:$L$125</definedName>
    <definedName name="_xlnm.Print_Area" localSheetId="10">Tiers!$A$1:$R$105</definedName>
    <definedName name="_xlnm.Print_Titles" localSheetId="10">Tiers!$1:$2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8" i="8" l="1"/>
  <c r="C128" i="8"/>
  <c r="D128" i="8"/>
  <c r="E128" i="8"/>
  <c r="H128" i="8"/>
  <c r="T22" i="12" l="1"/>
  <c r="T21" i="12"/>
  <c r="AC20" i="12" l="1"/>
  <c r="AC23" i="12" s="1"/>
  <c r="AD20" i="12"/>
  <c r="AE20" i="12"/>
  <c r="AF20" i="12"/>
  <c r="AG20" i="12"/>
  <c r="AC19" i="12"/>
  <c r="AC18" i="12"/>
  <c r="AC17" i="12"/>
  <c r="AC22" i="12"/>
  <c r="M24" i="12"/>
  <c r="M25" i="12"/>
  <c r="K68" i="3" l="1"/>
  <c r="G128" i="8" s="1"/>
  <c r="N21" i="12" l="1"/>
  <c r="H115" i="8"/>
  <c r="H116" i="8"/>
  <c r="H117" i="8"/>
  <c r="H118" i="8"/>
  <c r="H106" i="8"/>
  <c r="L20" i="12"/>
  <c r="M20" i="12"/>
  <c r="BV35" i="9"/>
  <c r="BV6" i="9"/>
  <c r="BV17" i="9"/>
  <c r="BV69" i="9"/>
  <c r="BV21" i="9"/>
  <c r="BV37" i="9"/>
  <c r="BV49" i="9"/>
  <c r="BV51" i="9"/>
  <c r="BV54" i="9"/>
  <c r="BV55" i="9"/>
  <c r="BV59" i="9"/>
  <c r="BV60" i="9"/>
  <c r="BV13" i="9"/>
  <c r="BV14" i="9"/>
  <c r="BV30" i="9"/>
  <c r="BV36" i="9"/>
  <c r="BV53" i="9"/>
  <c r="BV11" i="9"/>
  <c r="BV16" i="9"/>
  <c r="BV18" i="9"/>
  <c r="BV50" i="9"/>
  <c r="BV57" i="9"/>
  <c r="BV5" i="9"/>
  <c r="BV8" i="9"/>
  <c r="BV9" i="9"/>
  <c r="BV10" i="9"/>
  <c r="BV15" i="9"/>
  <c r="BV24" i="9"/>
  <c r="BV27" i="9"/>
  <c r="BV42" i="9"/>
  <c r="BV7" i="9"/>
  <c r="BV31" i="9"/>
  <c r="BV32" i="9"/>
  <c r="BV75" i="9"/>
  <c r="BV83" i="9"/>
  <c r="BV84" i="9"/>
  <c r="BV87" i="9"/>
  <c r="BV4" i="9"/>
  <c r="BV12" i="9"/>
  <c r="BV19" i="9"/>
  <c r="BV22" i="9"/>
  <c r="BV23" i="9"/>
  <c r="BV25" i="9"/>
  <c r="BV26" i="9"/>
  <c r="BV28" i="9"/>
  <c r="BV29" i="9"/>
  <c r="BV33" i="9"/>
  <c r="BV34" i="9"/>
  <c r="BV38" i="9"/>
  <c r="BV39" i="9"/>
  <c r="BV40" i="9"/>
  <c r="BV41" i="9"/>
  <c r="BV43" i="9"/>
  <c r="BV44" i="9"/>
  <c r="BV45" i="9"/>
  <c r="BV46" i="9"/>
  <c r="BV47" i="9"/>
  <c r="BV48" i="9"/>
  <c r="BV52" i="9"/>
  <c r="BV56" i="9"/>
  <c r="BV58" i="9"/>
  <c r="BV61" i="9"/>
  <c r="BV62" i="9"/>
  <c r="BV63" i="9"/>
  <c r="BV64" i="9"/>
  <c r="BV65" i="9"/>
  <c r="BV66" i="9"/>
  <c r="BV67" i="9"/>
  <c r="BV68" i="9"/>
  <c r="BV70" i="9"/>
  <c r="BV71" i="9"/>
  <c r="BV72" i="9"/>
  <c r="BV73" i="9"/>
  <c r="BV74" i="9"/>
  <c r="BV76" i="9"/>
  <c r="BV77" i="9"/>
  <c r="BV78" i="9"/>
  <c r="BV79" i="9"/>
  <c r="BV80" i="9"/>
  <c r="BV81" i="9"/>
  <c r="BV82" i="9"/>
  <c r="BV85" i="9"/>
  <c r="BV86" i="9"/>
  <c r="BV88" i="9"/>
  <c r="BV89" i="9"/>
  <c r="BV90" i="9"/>
  <c r="BV91" i="9"/>
  <c r="BV92" i="9"/>
  <c r="BV93" i="9"/>
  <c r="BV94" i="9"/>
  <c r="BV20" i="9"/>
  <c r="H45" i="8" l="1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BA35" i="9"/>
  <c r="BB35" i="9"/>
  <c r="BC35" i="9"/>
  <c r="BD35" i="9"/>
  <c r="BE35" i="9"/>
  <c r="BF35" i="9"/>
  <c r="BG35" i="9"/>
  <c r="BH35" i="9"/>
  <c r="BI35" i="9"/>
  <c r="Q35" i="9"/>
  <c r="B45" i="7"/>
  <c r="C45" i="7"/>
  <c r="D45" i="7"/>
  <c r="E45" i="7"/>
  <c r="F45" i="7"/>
  <c r="H45" i="7"/>
  <c r="I45" i="7"/>
  <c r="K45" i="7"/>
  <c r="B45" i="8"/>
  <c r="C45" i="8"/>
  <c r="D45" i="8"/>
  <c r="E45" i="8"/>
  <c r="G45" i="7"/>
  <c r="AG3" i="12"/>
  <c r="AG4" i="12"/>
  <c r="AG5" i="12"/>
  <c r="AG18" i="12" s="1"/>
  <c r="AG6" i="12"/>
  <c r="AG19" i="12" s="1"/>
  <c r="AG7" i="12"/>
  <c r="AG8" i="12"/>
  <c r="AG21" i="12" s="1"/>
  <c r="AG9" i="12"/>
  <c r="AG10" i="12"/>
  <c r="AG11" i="12"/>
  <c r="AD3" i="12"/>
  <c r="AE3" i="12"/>
  <c r="AF3" i="12"/>
  <c r="AD4" i="12"/>
  <c r="AE4" i="12"/>
  <c r="AF4" i="12"/>
  <c r="AD5" i="12"/>
  <c r="AD18" i="12" s="1"/>
  <c r="AE5" i="12"/>
  <c r="AE18" i="12" s="1"/>
  <c r="AF5" i="12"/>
  <c r="AF18" i="12" s="1"/>
  <c r="AD6" i="12"/>
  <c r="AD19" i="12" s="1"/>
  <c r="AE6" i="12"/>
  <c r="AE19" i="12" s="1"/>
  <c r="AF6" i="12"/>
  <c r="AF19" i="12" s="1"/>
  <c r="AD7" i="12"/>
  <c r="AE7" i="12"/>
  <c r="AF7" i="12"/>
  <c r="AD8" i="12"/>
  <c r="AD21" i="12" s="1"/>
  <c r="AE8" i="12"/>
  <c r="AE21" i="12" s="1"/>
  <c r="AF8" i="12"/>
  <c r="AF21" i="12" s="1"/>
  <c r="AD9" i="12"/>
  <c r="AE9" i="12"/>
  <c r="AF9" i="12"/>
  <c r="AD10" i="12"/>
  <c r="AE10" i="12"/>
  <c r="AF10" i="12"/>
  <c r="AD11" i="12"/>
  <c r="AE11" i="12"/>
  <c r="AF11" i="12"/>
  <c r="AC4" i="12"/>
  <c r="AC5" i="12"/>
  <c r="AC6" i="12"/>
  <c r="AC7" i="12"/>
  <c r="AC8" i="12"/>
  <c r="AC21" i="12" s="1"/>
  <c r="AC9" i="12"/>
  <c r="AC10" i="12"/>
  <c r="AC11" i="12"/>
  <c r="AC3" i="12"/>
  <c r="V4" i="12"/>
  <c r="N20" i="12" s="1"/>
  <c r="H48" i="8" l="1"/>
  <c r="AG22" i="12"/>
  <c r="BP35" i="9"/>
  <c r="BO35" i="9"/>
  <c r="BN35" i="9"/>
  <c r="BM35" i="9"/>
  <c r="BL35" i="9"/>
  <c r="BK35" i="9"/>
  <c r="BJ35" i="9"/>
  <c r="AF17" i="12"/>
  <c r="AE17" i="12"/>
  <c r="AD17" i="12"/>
  <c r="AF22" i="12"/>
  <c r="AE22" i="12"/>
  <c r="AD22" i="12"/>
  <c r="AG12" i="12"/>
  <c r="AG17" i="12"/>
  <c r="AF12" i="12"/>
  <c r="AE12" i="12"/>
  <c r="AD12" i="12"/>
  <c r="AC12" i="12"/>
  <c r="AD23" i="12" l="1"/>
  <c r="AG23" i="12"/>
  <c r="BQ35" i="9"/>
  <c r="AF23" i="12"/>
  <c r="AE23" i="12"/>
  <c r="I20" i="12" l="1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6" i="3"/>
  <c r="T55" i="3"/>
  <c r="T57" i="3"/>
  <c r="T58" i="3"/>
  <c r="T59" i="3"/>
  <c r="T60" i="3"/>
  <c r="T61" i="3"/>
  <c r="T62" i="3"/>
  <c r="T63" i="3"/>
  <c r="T64" i="3"/>
  <c r="T65" i="3"/>
  <c r="T66" i="3"/>
  <c r="T67" i="3"/>
  <c r="T2" i="3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BA61" i="9"/>
  <c r="BB61" i="9"/>
  <c r="BC61" i="9"/>
  <c r="BD61" i="9"/>
  <c r="BE61" i="9"/>
  <c r="BF61" i="9"/>
  <c r="BG61" i="9"/>
  <c r="BH61" i="9"/>
  <c r="BI61" i="9"/>
  <c r="M64" i="12"/>
  <c r="H61" i="9"/>
  <c r="Q61" i="9"/>
  <c r="B107" i="7"/>
  <c r="C107" i="7"/>
  <c r="D107" i="7"/>
  <c r="E107" i="7"/>
  <c r="F107" i="7"/>
  <c r="H107" i="7"/>
  <c r="I107" i="7"/>
  <c r="K107" i="7"/>
  <c r="B109" i="8"/>
  <c r="C109" i="8"/>
  <c r="D109" i="8"/>
  <c r="E109" i="8"/>
  <c r="K52" i="3"/>
  <c r="G109" i="8" s="1"/>
  <c r="BP61" i="9" l="1"/>
  <c r="BL61" i="9"/>
  <c r="BJ61" i="9"/>
  <c r="BN61" i="9"/>
  <c r="BO61" i="9"/>
  <c r="BK61" i="9"/>
  <c r="BM61" i="9"/>
  <c r="BQ61" i="9" l="1"/>
  <c r="I64" i="12"/>
  <c r="H109" i="8" l="1"/>
  <c r="G107" i="7"/>
  <c r="M51" i="12" l="1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BA66" i="9"/>
  <c r="BB66" i="9"/>
  <c r="BC66" i="9"/>
  <c r="BD66" i="9"/>
  <c r="BE66" i="9"/>
  <c r="BF66" i="9"/>
  <c r="BG66" i="9"/>
  <c r="BH66" i="9"/>
  <c r="BI66" i="9"/>
  <c r="Q66" i="9"/>
  <c r="H66" i="9"/>
  <c r="B96" i="7"/>
  <c r="B97" i="7"/>
  <c r="B98" i="7"/>
  <c r="B99" i="7"/>
  <c r="B100" i="7"/>
  <c r="B101" i="7"/>
  <c r="B102" i="7"/>
  <c r="B103" i="7"/>
  <c r="B104" i="7"/>
  <c r="B105" i="7"/>
  <c r="B106" i="7"/>
  <c r="B108" i="7"/>
  <c r="B98" i="8"/>
  <c r="B99" i="8"/>
  <c r="B100" i="8"/>
  <c r="B101" i="8"/>
  <c r="B102" i="8"/>
  <c r="B103" i="8"/>
  <c r="B104" i="8"/>
  <c r="B105" i="8"/>
  <c r="B106" i="8"/>
  <c r="B107" i="8"/>
  <c r="B108" i="8"/>
  <c r="B110" i="8"/>
  <c r="B115" i="8"/>
  <c r="C115" i="8"/>
  <c r="D115" i="8"/>
  <c r="E115" i="8"/>
  <c r="B116" i="8"/>
  <c r="C116" i="8"/>
  <c r="D116" i="8"/>
  <c r="E116" i="8"/>
  <c r="G116" i="8"/>
  <c r="B117" i="8"/>
  <c r="C117" i="8"/>
  <c r="D117" i="8"/>
  <c r="E117" i="8"/>
  <c r="B118" i="8"/>
  <c r="C118" i="8"/>
  <c r="D118" i="8"/>
  <c r="E118" i="8"/>
  <c r="B119" i="8"/>
  <c r="C119" i="8"/>
  <c r="D119" i="8"/>
  <c r="E119" i="8"/>
  <c r="B120" i="8"/>
  <c r="C120" i="8"/>
  <c r="D120" i="8"/>
  <c r="E120" i="8"/>
  <c r="B121" i="8"/>
  <c r="C121" i="8"/>
  <c r="D121" i="8"/>
  <c r="E121" i="8"/>
  <c r="B122" i="8"/>
  <c r="C122" i="8"/>
  <c r="D122" i="8"/>
  <c r="E122" i="8"/>
  <c r="B123" i="8"/>
  <c r="C123" i="8"/>
  <c r="D123" i="8"/>
  <c r="E123" i="8"/>
  <c r="B124" i="8"/>
  <c r="C124" i="8"/>
  <c r="D124" i="8"/>
  <c r="E124" i="8"/>
  <c r="B125" i="8"/>
  <c r="C125" i="8"/>
  <c r="D125" i="8"/>
  <c r="E125" i="8"/>
  <c r="B126" i="8"/>
  <c r="C126" i="8"/>
  <c r="D126" i="8"/>
  <c r="E126" i="8"/>
  <c r="B127" i="8"/>
  <c r="C127" i="8"/>
  <c r="D127" i="8"/>
  <c r="E127" i="8"/>
  <c r="B123" i="7"/>
  <c r="C123" i="7"/>
  <c r="D123" i="7"/>
  <c r="E123" i="7"/>
  <c r="F123" i="7"/>
  <c r="G123" i="7"/>
  <c r="H123" i="7"/>
  <c r="I123" i="7"/>
  <c r="K123" i="7"/>
  <c r="B124" i="7"/>
  <c r="C124" i="7"/>
  <c r="D124" i="7"/>
  <c r="E124" i="7"/>
  <c r="F124" i="7"/>
  <c r="G124" i="7"/>
  <c r="H124" i="7"/>
  <c r="I124" i="7"/>
  <c r="K124" i="7"/>
  <c r="B125" i="7"/>
  <c r="C125" i="7"/>
  <c r="D125" i="7"/>
  <c r="E125" i="7"/>
  <c r="F125" i="7"/>
  <c r="G125" i="7"/>
  <c r="H125" i="7"/>
  <c r="I125" i="7"/>
  <c r="K125" i="7"/>
  <c r="B116" i="7"/>
  <c r="C116" i="7"/>
  <c r="D116" i="7"/>
  <c r="E116" i="7"/>
  <c r="F116" i="7"/>
  <c r="G116" i="7"/>
  <c r="H116" i="7"/>
  <c r="I116" i="7"/>
  <c r="K116" i="7"/>
  <c r="B117" i="7"/>
  <c r="C117" i="7"/>
  <c r="D117" i="7"/>
  <c r="E117" i="7"/>
  <c r="F117" i="7"/>
  <c r="G117" i="7"/>
  <c r="H117" i="7"/>
  <c r="I117" i="7"/>
  <c r="K117" i="7"/>
  <c r="B118" i="7"/>
  <c r="C118" i="7"/>
  <c r="D118" i="7"/>
  <c r="E118" i="7"/>
  <c r="F118" i="7"/>
  <c r="G118" i="7"/>
  <c r="H118" i="7"/>
  <c r="I118" i="7"/>
  <c r="K118" i="7"/>
  <c r="B119" i="7"/>
  <c r="C119" i="7"/>
  <c r="D119" i="7"/>
  <c r="E119" i="7"/>
  <c r="F119" i="7"/>
  <c r="G119" i="7"/>
  <c r="H119" i="7"/>
  <c r="I119" i="7"/>
  <c r="K119" i="7"/>
  <c r="B120" i="7"/>
  <c r="C120" i="7"/>
  <c r="D120" i="7"/>
  <c r="E120" i="7"/>
  <c r="F120" i="7"/>
  <c r="G120" i="7"/>
  <c r="H120" i="7"/>
  <c r="I120" i="7"/>
  <c r="K120" i="7"/>
  <c r="B121" i="7"/>
  <c r="C121" i="7"/>
  <c r="D121" i="7"/>
  <c r="E121" i="7"/>
  <c r="F121" i="7"/>
  <c r="G121" i="7"/>
  <c r="H121" i="7"/>
  <c r="I121" i="7"/>
  <c r="K121" i="7"/>
  <c r="B122" i="7"/>
  <c r="C122" i="7"/>
  <c r="D122" i="7"/>
  <c r="E122" i="7"/>
  <c r="F122" i="7"/>
  <c r="G122" i="7"/>
  <c r="H122" i="7"/>
  <c r="I122" i="7"/>
  <c r="K122" i="7"/>
  <c r="B113" i="7"/>
  <c r="C113" i="7"/>
  <c r="D113" i="7"/>
  <c r="E113" i="7"/>
  <c r="F113" i="7"/>
  <c r="G113" i="7"/>
  <c r="H113" i="7"/>
  <c r="I113" i="7"/>
  <c r="K113" i="7"/>
  <c r="B114" i="7"/>
  <c r="C114" i="7"/>
  <c r="D114" i="7"/>
  <c r="E114" i="7"/>
  <c r="F114" i="7"/>
  <c r="G114" i="7"/>
  <c r="H114" i="7"/>
  <c r="I114" i="7"/>
  <c r="K114" i="7"/>
  <c r="B115" i="7"/>
  <c r="C115" i="7"/>
  <c r="D115" i="7"/>
  <c r="E115" i="7"/>
  <c r="F115" i="7"/>
  <c r="G115" i="7"/>
  <c r="H115" i="7"/>
  <c r="I115" i="7"/>
  <c r="K115" i="7"/>
  <c r="B95" i="7"/>
  <c r="C95" i="7"/>
  <c r="D95" i="7"/>
  <c r="E95" i="7"/>
  <c r="F95" i="7"/>
  <c r="H95" i="7"/>
  <c r="I95" i="7"/>
  <c r="K95" i="7"/>
  <c r="C98" i="8"/>
  <c r="D98" i="8"/>
  <c r="E98" i="8"/>
  <c r="B97" i="8"/>
  <c r="C97" i="8"/>
  <c r="D97" i="8"/>
  <c r="E97" i="8"/>
  <c r="K40" i="3"/>
  <c r="G97" i="8" s="1"/>
  <c r="Q68" i="9"/>
  <c r="Q63" i="9"/>
  <c r="Q58" i="9"/>
  <c r="Q70" i="9"/>
  <c r="Q26" i="9"/>
  <c r="Q44" i="9"/>
  <c r="Q71" i="9"/>
  <c r="Q43" i="9"/>
  <c r="Q38" i="9"/>
  <c r="Q47" i="9"/>
  <c r="Q22" i="9"/>
  <c r="Q80" i="9"/>
  <c r="Q62" i="9"/>
  <c r="Q74" i="9"/>
  <c r="Q90" i="9"/>
  <c r="Q89" i="9"/>
  <c r="Q12" i="9"/>
  <c r="Q19" i="9"/>
  <c r="Q27" i="9"/>
  <c r="Q56" i="9"/>
  <c r="Q20" i="9"/>
  <c r="Q28" i="9"/>
  <c r="Q33" i="9"/>
  <c r="Q45" i="9"/>
  <c r="Q7" i="9"/>
  <c r="Q15" i="9"/>
  <c r="Q10" i="9"/>
  <c r="Q24" i="9"/>
  <c r="Q5" i="9"/>
  <c r="Q9" i="9"/>
  <c r="Q32" i="9"/>
  <c r="Q31" i="9"/>
  <c r="Q8" i="9"/>
  <c r="Q40" i="9"/>
  <c r="Q51" i="9"/>
  <c r="Q36" i="9"/>
  <c r="Q53" i="9"/>
  <c r="Q14" i="9"/>
  <c r="Q21" i="9"/>
  <c r="Q57" i="9"/>
  <c r="Q49" i="9"/>
  <c r="Q18" i="9"/>
  <c r="Q13" i="9"/>
  <c r="Q16" i="9"/>
  <c r="Q55" i="9"/>
  <c r="Q30" i="9"/>
  <c r="Q11" i="9"/>
  <c r="Q65" i="9"/>
  <c r="Q37" i="9"/>
  <c r="Q50" i="9"/>
  <c r="Q42" i="9"/>
  <c r="Q4" i="9"/>
  <c r="Q73" i="9"/>
  <c r="Q48" i="9"/>
  <c r="Q78" i="9"/>
  <c r="Q64" i="9"/>
  <c r="Q91" i="9"/>
  <c r="Q34" i="9"/>
  <c r="Q25" i="9"/>
  <c r="Q93" i="9"/>
  <c r="Q81" i="9"/>
  <c r="Q86" i="9"/>
  <c r="Q23" i="9"/>
  <c r="Q76" i="9"/>
  <c r="Q85" i="9"/>
  <c r="Q79" i="9"/>
  <c r="Q77" i="9"/>
  <c r="Q94" i="9"/>
  <c r="Q88" i="9"/>
  <c r="Q52" i="9"/>
  <c r="Q41" i="9"/>
  <c r="Q67" i="9"/>
  <c r="Q72" i="9"/>
  <c r="Q29" i="9"/>
  <c r="Q39" i="9"/>
  <c r="Q69" i="9"/>
  <c r="Q6" i="9"/>
  <c r="Q17" i="9"/>
  <c r="Q54" i="9"/>
  <c r="Q59" i="9"/>
  <c r="Q60" i="9"/>
  <c r="Q75" i="9"/>
  <c r="Q82" i="9"/>
  <c r="Q92" i="9"/>
  <c r="Q83" i="9"/>
  <c r="Q84" i="9"/>
  <c r="Q87" i="9"/>
  <c r="Q46" i="9"/>
  <c r="BI111" i="9"/>
  <c r="BH111" i="9"/>
  <c r="BG111" i="9"/>
  <c r="BF111" i="9"/>
  <c r="BE111" i="9"/>
  <c r="BD111" i="9"/>
  <c r="BC111" i="9"/>
  <c r="BB111" i="9"/>
  <c r="BA111" i="9"/>
  <c r="AZ111" i="9"/>
  <c r="AY111" i="9"/>
  <c r="AX111" i="9"/>
  <c r="AW111" i="9"/>
  <c r="AV111" i="9"/>
  <c r="AU111" i="9"/>
  <c r="AT111" i="9"/>
  <c r="AS111" i="9"/>
  <c r="AR111" i="9"/>
  <c r="AQ111" i="9"/>
  <c r="AP111" i="9"/>
  <c r="AO111" i="9"/>
  <c r="AN111" i="9"/>
  <c r="H111" i="9"/>
  <c r="U32" i="7"/>
  <c r="U31" i="7"/>
  <c r="R32" i="7"/>
  <c r="R31" i="7"/>
  <c r="U30" i="7"/>
  <c r="U29" i="7"/>
  <c r="R30" i="7"/>
  <c r="R29" i="7"/>
  <c r="N35" i="7"/>
  <c r="N34" i="7"/>
  <c r="BL66" i="9" l="1"/>
  <c r="BJ66" i="9"/>
  <c r="BK66" i="9"/>
  <c r="BM66" i="9"/>
  <c r="BP66" i="9"/>
  <c r="BO66" i="9"/>
  <c r="BN66" i="9"/>
  <c r="U34" i="7"/>
  <c r="R34" i="7"/>
  <c r="BL111" i="9"/>
  <c r="BM111" i="9"/>
  <c r="BJ111" i="9"/>
  <c r="BN111" i="9"/>
  <c r="BK111" i="9"/>
  <c r="BO111" i="9"/>
  <c r="BP111" i="9"/>
  <c r="BQ66" i="9" l="1"/>
  <c r="BQ111" i="9"/>
  <c r="I51" i="12" l="1"/>
  <c r="M53" i="12" l="1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H17" i="9"/>
  <c r="K65" i="3"/>
  <c r="G125" i="8" s="1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BA73" i="9"/>
  <c r="BB73" i="9"/>
  <c r="BC73" i="9"/>
  <c r="BD73" i="9"/>
  <c r="BE73" i="9"/>
  <c r="BF73" i="9"/>
  <c r="BG73" i="9"/>
  <c r="BH73" i="9"/>
  <c r="BI73" i="9"/>
  <c r="K85" i="7"/>
  <c r="B85" i="7"/>
  <c r="C85" i="7"/>
  <c r="D85" i="7"/>
  <c r="E85" i="7"/>
  <c r="F85" i="7"/>
  <c r="H85" i="7"/>
  <c r="I85" i="7"/>
  <c r="B86" i="7"/>
  <c r="C86" i="7"/>
  <c r="D86" i="7"/>
  <c r="E86" i="7"/>
  <c r="F86" i="7"/>
  <c r="H86" i="7"/>
  <c r="I86" i="7"/>
  <c r="B87" i="8"/>
  <c r="C87" i="8"/>
  <c r="D87" i="8"/>
  <c r="E87" i="8"/>
  <c r="B88" i="8"/>
  <c r="C88" i="8"/>
  <c r="D88" i="8"/>
  <c r="E88" i="8"/>
  <c r="K30" i="3"/>
  <c r="G87" i="8" s="1"/>
  <c r="G50" i="9"/>
  <c r="BO17" i="9" l="1"/>
  <c r="BN73" i="9"/>
  <c r="BJ17" i="9"/>
  <c r="BJ73" i="9"/>
  <c r="BN17" i="9"/>
  <c r="BK17" i="9"/>
  <c r="BL73" i="9"/>
  <c r="BK73" i="9"/>
  <c r="BL17" i="9"/>
  <c r="BP17" i="9"/>
  <c r="BM17" i="9"/>
  <c r="BO73" i="9"/>
  <c r="BM73" i="9"/>
  <c r="BP73" i="9"/>
  <c r="L49" i="12" l="1"/>
  <c r="H82" i="8"/>
  <c r="BQ17" i="9"/>
  <c r="BQ73" i="9"/>
  <c r="I53" i="12" l="1"/>
  <c r="V13" i="12"/>
  <c r="U14" i="12"/>
  <c r="U15" i="12"/>
  <c r="U16" i="12"/>
  <c r="U17" i="12"/>
  <c r="U18" i="12"/>
  <c r="U13" i="12"/>
  <c r="M36" i="12"/>
  <c r="M26" i="12"/>
  <c r="M27" i="12"/>
  <c r="M12" i="12"/>
  <c r="M28" i="12"/>
  <c r="M38" i="12"/>
  <c r="M58" i="12"/>
  <c r="M18" i="12"/>
  <c r="M19" i="12"/>
  <c r="M42" i="12"/>
  <c r="M43" i="12"/>
  <c r="M50" i="12"/>
  <c r="M23" i="12"/>
  <c r="M13" i="12"/>
  <c r="M29" i="12"/>
  <c r="M14" i="12"/>
  <c r="M31" i="12"/>
  <c r="M32" i="12"/>
  <c r="M69" i="12"/>
  <c r="M33" i="12"/>
  <c r="M57" i="12"/>
  <c r="M37" i="12"/>
  <c r="M16" i="12"/>
  <c r="M30" i="12"/>
  <c r="M34" i="12"/>
  <c r="M35" i="12"/>
  <c r="M15" i="12"/>
  <c r="M17" i="12"/>
  <c r="M39" i="12"/>
  <c r="M40" i="12"/>
  <c r="M41" i="12"/>
  <c r="M59" i="12"/>
  <c r="M60" i="12"/>
  <c r="M61" i="12"/>
  <c r="M70" i="12"/>
  <c r="M44" i="12"/>
  <c r="M45" i="12"/>
  <c r="M46" i="12"/>
  <c r="M47" i="12"/>
  <c r="M22" i="12"/>
  <c r="M48" i="12"/>
  <c r="M71" i="12"/>
  <c r="M72" i="12"/>
  <c r="M49" i="12"/>
  <c r="M73" i="12"/>
  <c r="M74" i="12"/>
  <c r="M62" i="12"/>
  <c r="M63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52" i="12"/>
  <c r="M87" i="12"/>
  <c r="M88" i="12"/>
  <c r="M65" i="12"/>
  <c r="M89" i="12"/>
  <c r="M66" i="12"/>
  <c r="M90" i="12"/>
  <c r="M67" i="12"/>
  <c r="M54" i="12"/>
  <c r="M91" i="12"/>
  <c r="M92" i="12"/>
  <c r="M55" i="12"/>
  <c r="M56" i="12"/>
  <c r="M93" i="12"/>
  <c r="M94" i="12"/>
  <c r="M95" i="12"/>
  <c r="M11" i="12"/>
  <c r="L3" i="12"/>
  <c r="V6" i="12"/>
  <c r="V7" i="12"/>
  <c r="V5" i="12"/>
  <c r="N49" i="12" l="1"/>
  <c r="G112" i="7"/>
  <c r="L38" i="12"/>
  <c r="N38" i="12" s="1"/>
  <c r="J62" i="3"/>
  <c r="J61" i="3"/>
  <c r="J60" i="3"/>
  <c r="H105" i="8" l="1"/>
  <c r="H107" i="8"/>
  <c r="H108" i="8"/>
  <c r="L64" i="12"/>
  <c r="N64" i="12" s="1"/>
  <c r="H110" i="8"/>
  <c r="H119" i="8"/>
  <c r="H102" i="8"/>
  <c r="G104" i="7"/>
  <c r="L43" i="12"/>
  <c r="N43" i="12" s="1"/>
  <c r="G105" i="7"/>
  <c r="L23" i="12"/>
  <c r="N23" i="12" s="1"/>
  <c r="L63" i="12"/>
  <c r="N63" i="12" s="1"/>
  <c r="L65" i="12"/>
  <c r="N65" i="12" s="1"/>
  <c r="G106" i="7"/>
  <c r="L52" i="12"/>
  <c r="N52" i="12" s="1"/>
  <c r="G108" i="7"/>
  <c r="L58" i="12"/>
  <c r="N58" i="12" s="1"/>
  <c r="L74" i="12"/>
  <c r="N74" i="12" s="1"/>
  <c r="V17" i="12"/>
  <c r="V16" i="12"/>
  <c r="G48" i="7"/>
  <c r="G103" i="7"/>
  <c r="G100" i="7"/>
  <c r="V15" i="12"/>
  <c r="V18" i="12"/>
  <c r="V14" i="12"/>
  <c r="L95" i="12" l="1"/>
  <c r="N95" i="12" s="1"/>
  <c r="H103" i="8"/>
  <c r="L66" i="12"/>
  <c r="N66" i="12" s="1"/>
  <c r="H101" i="8"/>
  <c r="L54" i="12"/>
  <c r="N54" i="12" s="1"/>
  <c r="H100" i="8"/>
  <c r="G101" i="7"/>
  <c r="G98" i="7"/>
  <c r="G99" i="7"/>
  <c r="N3" i="12" l="1"/>
  <c r="L92" i="12"/>
  <c r="N92" i="12" s="1"/>
  <c r="H104" i="8"/>
  <c r="G102" i="7"/>
  <c r="O3" i="12" l="1"/>
  <c r="W13" i="12"/>
  <c r="X13" i="12" s="1"/>
  <c r="AO46" i="9" l="1"/>
  <c r="AO20" i="9" l="1"/>
  <c r="C105" i="7"/>
  <c r="D105" i="7"/>
  <c r="E105" i="7"/>
  <c r="F105" i="7"/>
  <c r="H105" i="7"/>
  <c r="I105" i="7"/>
  <c r="K105" i="7"/>
  <c r="C106" i="7"/>
  <c r="D106" i="7"/>
  <c r="E106" i="7"/>
  <c r="F106" i="7"/>
  <c r="H106" i="7"/>
  <c r="I106" i="7"/>
  <c r="K106" i="7"/>
  <c r="C107" i="8"/>
  <c r="D107" i="8"/>
  <c r="E107" i="8"/>
  <c r="C108" i="8"/>
  <c r="D108" i="8"/>
  <c r="E108" i="8"/>
  <c r="AN29" i="9"/>
  <c r="AP29" i="9"/>
  <c r="AQ29" i="9"/>
  <c r="AR29" i="9"/>
  <c r="AS29" i="9"/>
  <c r="AT29" i="9"/>
  <c r="AU29" i="9"/>
  <c r="AV29" i="9"/>
  <c r="AW29" i="9"/>
  <c r="AX29" i="9"/>
  <c r="AY29" i="9"/>
  <c r="AZ29" i="9"/>
  <c r="BA29" i="9"/>
  <c r="BB29" i="9"/>
  <c r="BC29" i="9"/>
  <c r="BD29" i="9"/>
  <c r="BE29" i="9"/>
  <c r="BF29" i="9"/>
  <c r="BG29" i="9"/>
  <c r="BH29" i="9"/>
  <c r="BI29" i="9"/>
  <c r="H29" i="9"/>
  <c r="K51" i="3"/>
  <c r="AN72" i="9"/>
  <c r="AP72" i="9"/>
  <c r="AQ72" i="9"/>
  <c r="AR72" i="9"/>
  <c r="AS72" i="9"/>
  <c r="AT72" i="9"/>
  <c r="AU72" i="9"/>
  <c r="AV72" i="9"/>
  <c r="AW72" i="9"/>
  <c r="AX72" i="9"/>
  <c r="AY72" i="9"/>
  <c r="AZ72" i="9"/>
  <c r="BA72" i="9"/>
  <c r="BB72" i="9"/>
  <c r="BC72" i="9"/>
  <c r="BD72" i="9"/>
  <c r="BE72" i="9"/>
  <c r="BF72" i="9"/>
  <c r="BG72" i="9"/>
  <c r="BH72" i="9"/>
  <c r="BI72" i="9"/>
  <c r="H72" i="9"/>
  <c r="K50" i="3"/>
  <c r="AN67" i="9"/>
  <c r="AP67" i="9"/>
  <c r="AQ67" i="9"/>
  <c r="AR67" i="9"/>
  <c r="AS67" i="9"/>
  <c r="AT67" i="9"/>
  <c r="AU67" i="9"/>
  <c r="AV67" i="9"/>
  <c r="AW67" i="9"/>
  <c r="AX67" i="9"/>
  <c r="AY67" i="9"/>
  <c r="AZ67" i="9"/>
  <c r="BA67" i="9"/>
  <c r="BB67" i="9"/>
  <c r="BC67" i="9"/>
  <c r="BD67" i="9"/>
  <c r="BE67" i="9"/>
  <c r="BF67" i="9"/>
  <c r="BG67" i="9"/>
  <c r="BH67" i="9"/>
  <c r="BI67" i="9"/>
  <c r="H67" i="9"/>
  <c r="C104" i="8"/>
  <c r="D104" i="8"/>
  <c r="E104" i="8"/>
  <c r="C105" i="8"/>
  <c r="D105" i="8"/>
  <c r="E105" i="8"/>
  <c r="C106" i="8"/>
  <c r="D106" i="8"/>
  <c r="E106" i="8"/>
  <c r="C110" i="8"/>
  <c r="D110" i="8"/>
  <c r="E110" i="8"/>
  <c r="C103" i="7"/>
  <c r="D103" i="7"/>
  <c r="E103" i="7"/>
  <c r="F103" i="7"/>
  <c r="H103" i="7"/>
  <c r="I103" i="7"/>
  <c r="K103" i="7"/>
  <c r="C104" i="7"/>
  <c r="D104" i="7"/>
  <c r="E104" i="7"/>
  <c r="F104" i="7"/>
  <c r="H104" i="7"/>
  <c r="I104" i="7"/>
  <c r="K104" i="7"/>
  <c r="C108" i="7"/>
  <c r="D108" i="7"/>
  <c r="E108" i="7"/>
  <c r="F108" i="7"/>
  <c r="H108" i="7"/>
  <c r="I108" i="7"/>
  <c r="K108" i="7"/>
  <c r="K49" i="3"/>
  <c r="B50" i="8"/>
  <c r="C50" i="8"/>
  <c r="D50" i="8"/>
  <c r="E50" i="8"/>
  <c r="B50" i="7"/>
  <c r="C50" i="7"/>
  <c r="D50" i="7"/>
  <c r="E50" i="7"/>
  <c r="F50" i="7"/>
  <c r="H50" i="7"/>
  <c r="I50" i="7"/>
  <c r="K50" i="7"/>
  <c r="AN2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20" i="9"/>
  <c r="BC20" i="9"/>
  <c r="BD20" i="9"/>
  <c r="BE20" i="9"/>
  <c r="BF20" i="9"/>
  <c r="BG20" i="9"/>
  <c r="BH20" i="9"/>
  <c r="BI20" i="9"/>
  <c r="BK29" i="9" l="1"/>
  <c r="G108" i="8"/>
  <c r="G106" i="8"/>
  <c r="BK72" i="9"/>
  <c r="BN72" i="9"/>
  <c r="BN29" i="9"/>
  <c r="BM20" i="9"/>
  <c r="BM67" i="9"/>
  <c r="BL72" i="9"/>
  <c r="BL29" i="9"/>
  <c r="BP20" i="9"/>
  <c r="BP67" i="9"/>
  <c r="BM72" i="9"/>
  <c r="BM29" i="9"/>
  <c r="BL20" i="9"/>
  <c r="BL67" i="9"/>
  <c r="BP72" i="9"/>
  <c r="BP29" i="9"/>
  <c r="BO20" i="9"/>
  <c r="BO67" i="9"/>
  <c r="BK20" i="9"/>
  <c r="BK67" i="9"/>
  <c r="BO72" i="9"/>
  <c r="BO29" i="9"/>
  <c r="BN20" i="9"/>
  <c r="BJ20" i="9"/>
  <c r="BN67" i="9"/>
  <c r="G107" i="8"/>
  <c r="AO72" i="9"/>
  <c r="BJ72" i="9" s="1"/>
  <c r="AO29" i="9"/>
  <c r="BJ29" i="9" s="1"/>
  <c r="AO67" i="9"/>
  <c r="BJ67" i="9" s="1"/>
  <c r="B31" i="8"/>
  <c r="C31" i="8"/>
  <c r="D31" i="8"/>
  <c r="E31" i="8"/>
  <c r="B32" i="8"/>
  <c r="C32" i="8"/>
  <c r="D32" i="8"/>
  <c r="E32" i="8"/>
  <c r="B33" i="8"/>
  <c r="C33" i="8"/>
  <c r="D33" i="8"/>
  <c r="E33" i="8"/>
  <c r="B34" i="8"/>
  <c r="C34" i="8"/>
  <c r="D34" i="8"/>
  <c r="E34" i="8"/>
  <c r="B35" i="8"/>
  <c r="C35" i="8"/>
  <c r="D35" i="8"/>
  <c r="E35" i="8"/>
  <c r="B36" i="8"/>
  <c r="C36" i="8"/>
  <c r="D36" i="8"/>
  <c r="E36" i="8"/>
  <c r="B37" i="8"/>
  <c r="C37" i="8"/>
  <c r="D37" i="8"/>
  <c r="E37" i="8"/>
  <c r="B38" i="8"/>
  <c r="C38" i="8"/>
  <c r="D38" i="8"/>
  <c r="E38" i="8"/>
  <c r="B39" i="8"/>
  <c r="C39" i="8"/>
  <c r="D39" i="8"/>
  <c r="E39" i="8"/>
  <c r="B40" i="8"/>
  <c r="C40" i="8"/>
  <c r="D40" i="8"/>
  <c r="E40" i="8"/>
  <c r="B41" i="8"/>
  <c r="C41" i="8"/>
  <c r="D41" i="8"/>
  <c r="E41" i="8"/>
  <c r="B42" i="8"/>
  <c r="C42" i="8"/>
  <c r="D42" i="8"/>
  <c r="E42" i="8"/>
  <c r="B43" i="8"/>
  <c r="C43" i="8"/>
  <c r="D43" i="8"/>
  <c r="E43" i="8"/>
  <c r="B44" i="8"/>
  <c r="C44" i="8"/>
  <c r="D44" i="8"/>
  <c r="E44" i="8"/>
  <c r="B46" i="8"/>
  <c r="C46" i="8"/>
  <c r="D46" i="8"/>
  <c r="E46" i="8"/>
  <c r="B47" i="8"/>
  <c r="C47" i="8"/>
  <c r="D47" i="8"/>
  <c r="E47" i="8"/>
  <c r="B48" i="8"/>
  <c r="C48" i="8"/>
  <c r="D48" i="8"/>
  <c r="E48" i="8"/>
  <c r="B49" i="8"/>
  <c r="C49" i="8"/>
  <c r="D49" i="8"/>
  <c r="E49" i="8"/>
  <c r="B51" i="8"/>
  <c r="C51" i="8"/>
  <c r="D51" i="8"/>
  <c r="E51" i="8"/>
  <c r="B52" i="8"/>
  <c r="C52" i="8"/>
  <c r="D52" i="8"/>
  <c r="E52" i="8"/>
  <c r="B53" i="8"/>
  <c r="C53" i="8"/>
  <c r="D53" i="8"/>
  <c r="E53" i="8"/>
  <c r="B40" i="7"/>
  <c r="C40" i="7"/>
  <c r="D40" i="7"/>
  <c r="E40" i="7"/>
  <c r="F40" i="7"/>
  <c r="H40" i="7"/>
  <c r="I40" i="7"/>
  <c r="K40" i="7"/>
  <c r="B41" i="7"/>
  <c r="C41" i="7"/>
  <c r="D41" i="7"/>
  <c r="E41" i="7"/>
  <c r="F41" i="7"/>
  <c r="H41" i="7"/>
  <c r="I41" i="7"/>
  <c r="K41" i="7"/>
  <c r="B42" i="7"/>
  <c r="C42" i="7"/>
  <c r="D42" i="7"/>
  <c r="E42" i="7"/>
  <c r="F42" i="7"/>
  <c r="H42" i="7"/>
  <c r="I42" i="7"/>
  <c r="K42" i="7"/>
  <c r="B43" i="7"/>
  <c r="C43" i="7"/>
  <c r="D43" i="7"/>
  <c r="E43" i="7"/>
  <c r="F43" i="7"/>
  <c r="H43" i="7"/>
  <c r="I43" i="7"/>
  <c r="K43" i="7"/>
  <c r="B44" i="7"/>
  <c r="C44" i="7"/>
  <c r="D44" i="7"/>
  <c r="E44" i="7"/>
  <c r="F44" i="7"/>
  <c r="H44" i="7"/>
  <c r="I44" i="7"/>
  <c r="K44" i="7"/>
  <c r="B46" i="7"/>
  <c r="C46" i="7"/>
  <c r="D46" i="7"/>
  <c r="E46" i="7"/>
  <c r="F46" i="7"/>
  <c r="H46" i="7"/>
  <c r="I46" i="7"/>
  <c r="K46" i="7"/>
  <c r="B47" i="7"/>
  <c r="C47" i="7"/>
  <c r="D47" i="7"/>
  <c r="E47" i="7"/>
  <c r="F47" i="7"/>
  <c r="H47" i="7"/>
  <c r="I47" i="7"/>
  <c r="K47" i="7"/>
  <c r="B48" i="7"/>
  <c r="C48" i="7"/>
  <c r="D48" i="7"/>
  <c r="E48" i="7"/>
  <c r="F48" i="7"/>
  <c r="H48" i="7"/>
  <c r="I48" i="7"/>
  <c r="K48" i="7"/>
  <c r="B49" i="7"/>
  <c r="C49" i="7"/>
  <c r="D49" i="7"/>
  <c r="E49" i="7"/>
  <c r="F49" i="7"/>
  <c r="H49" i="7"/>
  <c r="I49" i="7"/>
  <c r="K49" i="7"/>
  <c r="B51" i="7"/>
  <c r="C51" i="7"/>
  <c r="D51" i="7"/>
  <c r="E51" i="7"/>
  <c r="F51" i="7"/>
  <c r="H51" i="7"/>
  <c r="I51" i="7"/>
  <c r="K51" i="7"/>
  <c r="B52" i="7"/>
  <c r="C52" i="7"/>
  <c r="D52" i="7"/>
  <c r="E52" i="7"/>
  <c r="F52" i="7"/>
  <c r="H52" i="7"/>
  <c r="I52" i="7"/>
  <c r="K52" i="7"/>
  <c r="B53" i="7"/>
  <c r="C53" i="7"/>
  <c r="D53" i="7"/>
  <c r="E53" i="7"/>
  <c r="F53" i="7"/>
  <c r="H53" i="7"/>
  <c r="I53" i="7"/>
  <c r="K53" i="7"/>
  <c r="B39" i="7"/>
  <c r="C39" i="7"/>
  <c r="D39" i="7"/>
  <c r="E39" i="7"/>
  <c r="F39" i="7"/>
  <c r="H39" i="7"/>
  <c r="I39" i="7"/>
  <c r="K39" i="7"/>
  <c r="AN94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H41" i="9"/>
  <c r="K53" i="3"/>
  <c r="BM41" i="9" l="1"/>
  <c r="BJ41" i="9"/>
  <c r="BN41" i="9"/>
  <c r="BO41" i="9"/>
  <c r="BK41" i="9"/>
  <c r="BL41" i="9"/>
  <c r="BP41" i="9"/>
  <c r="BQ72" i="9"/>
  <c r="BQ29" i="9"/>
  <c r="BQ67" i="9"/>
  <c r="G110" i="8"/>
  <c r="BQ20" i="9"/>
  <c r="AN31" i="9"/>
  <c r="AO31" i="9"/>
  <c r="AP31" i="9"/>
  <c r="AQ31" i="9"/>
  <c r="AR31" i="9"/>
  <c r="AS31" i="9"/>
  <c r="AT31" i="9"/>
  <c r="AU31" i="9"/>
  <c r="AV31" i="9"/>
  <c r="AW31" i="9"/>
  <c r="AX31" i="9"/>
  <c r="AY31" i="9"/>
  <c r="AZ31" i="9"/>
  <c r="BA31" i="9"/>
  <c r="BB31" i="9"/>
  <c r="BC31" i="9"/>
  <c r="BD31" i="9"/>
  <c r="BE31" i="9"/>
  <c r="BF31" i="9"/>
  <c r="BG31" i="9"/>
  <c r="BH31" i="9"/>
  <c r="BI31" i="9"/>
  <c r="AN5" i="9"/>
  <c r="AO5" i="9"/>
  <c r="AP5" i="9"/>
  <c r="AQ5" i="9"/>
  <c r="AR5" i="9"/>
  <c r="AS5" i="9"/>
  <c r="AT5" i="9"/>
  <c r="AU5" i="9"/>
  <c r="AV5" i="9"/>
  <c r="AW5" i="9"/>
  <c r="AX5" i="9"/>
  <c r="AY5" i="9"/>
  <c r="AZ5" i="9"/>
  <c r="BA5" i="9"/>
  <c r="BB5" i="9"/>
  <c r="BC5" i="9"/>
  <c r="BD5" i="9"/>
  <c r="BE5" i="9"/>
  <c r="BF5" i="9"/>
  <c r="BG5" i="9"/>
  <c r="BH5" i="9"/>
  <c r="BI5" i="9"/>
  <c r="I23" i="12" l="1"/>
  <c r="I58" i="12"/>
  <c r="I52" i="12"/>
  <c r="I35" i="12"/>
  <c r="BM31" i="9"/>
  <c r="BL5" i="9"/>
  <c r="BN31" i="9"/>
  <c r="BP31" i="9"/>
  <c r="BM5" i="9"/>
  <c r="BL31" i="9"/>
  <c r="BP5" i="9"/>
  <c r="BO31" i="9"/>
  <c r="BK31" i="9"/>
  <c r="BO5" i="9"/>
  <c r="BK5" i="9"/>
  <c r="BJ31" i="9"/>
  <c r="BN5" i="9"/>
  <c r="BJ5" i="9"/>
  <c r="BQ41" i="9"/>
  <c r="BI108" i="9"/>
  <c r="BH108" i="9"/>
  <c r="BG108" i="9"/>
  <c r="BF108" i="9"/>
  <c r="BE108" i="9"/>
  <c r="BD108" i="9"/>
  <c r="BC108" i="9"/>
  <c r="BB108" i="9"/>
  <c r="BA108" i="9"/>
  <c r="AZ108" i="9"/>
  <c r="AY108" i="9"/>
  <c r="AX108" i="9"/>
  <c r="AW108" i="9"/>
  <c r="AV108" i="9"/>
  <c r="AU108" i="9"/>
  <c r="AT108" i="9"/>
  <c r="AS108" i="9"/>
  <c r="AR108" i="9"/>
  <c r="AQ108" i="9"/>
  <c r="AP108" i="9"/>
  <c r="AO108" i="9"/>
  <c r="AN108" i="9"/>
  <c r="I43" i="12" l="1"/>
  <c r="BQ31" i="9"/>
  <c r="BQ5" i="9"/>
  <c r="BP108" i="9"/>
  <c r="BO108" i="9"/>
  <c r="BN108" i="9"/>
  <c r="BK108" i="9"/>
  <c r="BL108" i="9"/>
  <c r="BJ108" i="9"/>
  <c r="BM108" i="9"/>
  <c r="I26" i="12" l="1"/>
  <c r="I18" i="12"/>
  <c r="BQ108" i="9"/>
  <c r="AN107" i="9"/>
  <c r="AN83" i="9"/>
  <c r="C65" i="8"/>
  <c r="G114" i="8"/>
  <c r="E114" i="8"/>
  <c r="D114" i="8"/>
  <c r="C114" i="8"/>
  <c r="B114" i="8"/>
  <c r="B58" i="8"/>
  <c r="C58" i="8"/>
  <c r="D58" i="8"/>
  <c r="E58" i="8"/>
  <c r="B59" i="8"/>
  <c r="C59" i="8"/>
  <c r="D59" i="8"/>
  <c r="E59" i="8"/>
  <c r="B60" i="8"/>
  <c r="C60" i="8"/>
  <c r="D60" i="8"/>
  <c r="E60" i="8"/>
  <c r="B61" i="8"/>
  <c r="C61" i="8"/>
  <c r="D61" i="8"/>
  <c r="E61" i="8"/>
  <c r="B62" i="8"/>
  <c r="C62" i="8"/>
  <c r="D62" i="8"/>
  <c r="E62" i="8"/>
  <c r="B63" i="8"/>
  <c r="C63" i="8"/>
  <c r="D63" i="8"/>
  <c r="E63" i="8"/>
  <c r="B64" i="8"/>
  <c r="C64" i="8"/>
  <c r="D64" i="8"/>
  <c r="E64" i="8"/>
  <c r="B65" i="8"/>
  <c r="D65" i="8"/>
  <c r="E65" i="8"/>
  <c r="B66" i="8"/>
  <c r="C66" i="8"/>
  <c r="D66" i="8"/>
  <c r="E66" i="8"/>
  <c r="B67" i="8"/>
  <c r="C67" i="8"/>
  <c r="D67" i="8"/>
  <c r="E67" i="8"/>
  <c r="B68" i="8"/>
  <c r="C68" i="8"/>
  <c r="D68" i="8"/>
  <c r="E68" i="8"/>
  <c r="B69" i="8"/>
  <c r="C69" i="8"/>
  <c r="D69" i="8"/>
  <c r="E69" i="8"/>
  <c r="B70" i="8"/>
  <c r="C70" i="8"/>
  <c r="D70" i="8"/>
  <c r="E70" i="8"/>
  <c r="B71" i="8"/>
  <c r="C71" i="8"/>
  <c r="D71" i="8"/>
  <c r="E71" i="8"/>
  <c r="B72" i="8"/>
  <c r="C72" i="8"/>
  <c r="D72" i="8"/>
  <c r="E72" i="8"/>
  <c r="B73" i="8"/>
  <c r="C73" i="8"/>
  <c r="D73" i="8"/>
  <c r="E73" i="8"/>
  <c r="B74" i="8"/>
  <c r="C74" i="8"/>
  <c r="D74" i="8"/>
  <c r="E74" i="8"/>
  <c r="B75" i="8"/>
  <c r="C75" i="8"/>
  <c r="D75" i="8"/>
  <c r="E75" i="8"/>
  <c r="B76" i="8"/>
  <c r="C76" i="8"/>
  <c r="D76" i="8"/>
  <c r="E76" i="8"/>
  <c r="B77" i="8"/>
  <c r="C77" i="8"/>
  <c r="D77" i="8"/>
  <c r="E77" i="8"/>
  <c r="B78" i="8"/>
  <c r="C78" i="8"/>
  <c r="D78" i="8"/>
  <c r="E78" i="8"/>
  <c r="B79" i="8"/>
  <c r="C79" i="8"/>
  <c r="D79" i="8"/>
  <c r="E79" i="8"/>
  <c r="B80" i="8"/>
  <c r="C80" i="8"/>
  <c r="D80" i="8"/>
  <c r="E80" i="8"/>
  <c r="B81" i="8"/>
  <c r="C81" i="8"/>
  <c r="D81" i="8"/>
  <c r="E81" i="8"/>
  <c r="B82" i="8"/>
  <c r="C82" i="8"/>
  <c r="D82" i="8"/>
  <c r="E82" i="8"/>
  <c r="B85" i="8"/>
  <c r="C85" i="8"/>
  <c r="D85" i="8"/>
  <c r="E85" i="8"/>
  <c r="B86" i="8"/>
  <c r="C86" i="8"/>
  <c r="D86" i="8"/>
  <c r="E86" i="8"/>
  <c r="B89" i="8"/>
  <c r="C89" i="8"/>
  <c r="D89" i="8"/>
  <c r="E89" i="8"/>
  <c r="B90" i="8"/>
  <c r="C90" i="8"/>
  <c r="D90" i="8"/>
  <c r="E90" i="8"/>
  <c r="B91" i="8"/>
  <c r="C91" i="8"/>
  <c r="D91" i="8"/>
  <c r="E91" i="8"/>
  <c r="B92" i="8"/>
  <c r="C92" i="8"/>
  <c r="D92" i="8"/>
  <c r="E92" i="8"/>
  <c r="B93" i="8"/>
  <c r="C93" i="8"/>
  <c r="D93" i="8"/>
  <c r="E93" i="8"/>
  <c r="B94" i="8"/>
  <c r="C94" i="8"/>
  <c r="D94" i="8"/>
  <c r="E94" i="8"/>
  <c r="B95" i="8"/>
  <c r="C95" i="8"/>
  <c r="D95" i="8"/>
  <c r="E95" i="8"/>
  <c r="B96" i="8"/>
  <c r="C96" i="8"/>
  <c r="D96" i="8"/>
  <c r="E96" i="8"/>
  <c r="C99" i="8"/>
  <c r="D99" i="8"/>
  <c r="E99" i="8"/>
  <c r="C100" i="8"/>
  <c r="D100" i="8"/>
  <c r="E100" i="8"/>
  <c r="C101" i="8"/>
  <c r="D101" i="8"/>
  <c r="E101" i="8"/>
  <c r="C102" i="8"/>
  <c r="D102" i="8"/>
  <c r="E102" i="8"/>
  <c r="C103" i="8"/>
  <c r="D103" i="8"/>
  <c r="E103" i="8"/>
  <c r="D57" i="8"/>
  <c r="E57" i="8"/>
  <c r="C57" i="8"/>
  <c r="B57" i="8"/>
  <c r="K112" i="7"/>
  <c r="I112" i="7"/>
  <c r="H112" i="7"/>
  <c r="F112" i="7"/>
  <c r="E112" i="7"/>
  <c r="D112" i="7"/>
  <c r="C112" i="7"/>
  <c r="B112" i="7"/>
  <c r="B58" i="7"/>
  <c r="C58" i="7"/>
  <c r="D58" i="7"/>
  <c r="E58" i="7"/>
  <c r="F58" i="7"/>
  <c r="H58" i="7"/>
  <c r="I58" i="7"/>
  <c r="K58" i="7"/>
  <c r="B59" i="7"/>
  <c r="C59" i="7"/>
  <c r="D59" i="7"/>
  <c r="E59" i="7"/>
  <c r="F59" i="7"/>
  <c r="H59" i="7"/>
  <c r="I59" i="7"/>
  <c r="K59" i="7"/>
  <c r="B60" i="7"/>
  <c r="C60" i="7"/>
  <c r="D60" i="7"/>
  <c r="E60" i="7"/>
  <c r="F60" i="7"/>
  <c r="H60" i="7"/>
  <c r="I60" i="7"/>
  <c r="K60" i="7"/>
  <c r="B61" i="7"/>
  <c r="C61" i="7"/>
  <c r="D61" i="7"/>
  <c r="E61" i="7"/>
  <c r="F61" i="7"/>
  <c r="H61" i="7"/>
  <c r="I61" i="7"/>
  <c r="K61" i="7"/>
  <c r="B62" i="7"/>
  <c r="C62" i="7"/>
  <c r="D62" i="7"/>
  <c r="E62" i="7"/>
  <c r="F62" i="7"/>
  <c r="H62" i="7"/>
  <c r="I62" i="7"/>
  <c r="K62" i="7"/>
  <c r="B63" i="7"/>
  <c r="C63" i="7"/>
  <c r="D63" i="7"/>
  <c r="E63" i="7"/>
  <c r="F63" i="7"/>
  <c r="H63" i="7"/>
  <c r="I63" i="7"/>
  <c r="K63" i="7"/>
  <c r="B64" i="7"/>
  <c r="C64" i="7"/>
  <c r="D64" i="7"/>
  <c r="E64" i="7"/>
  <c r="F64" i="7"/>
  <c r="H64" i="7"/>
  <c r="I64" i="7"/>
  <c r="K64" i="7"/>
  <c r="B65" i="7"/>
  <c r="C65" i="7"/>
  <c r="D65" i="7"/>
  <c r="E65" i="7"/>
  <c r="F65" i="7"/>
  <c r="H65" i="7"/>
  <c r="I65" i="7"/>
  <c r="K65" i="7"/>
  <c r="B66" i="7"/>
  <c r="C66" i="7"/>
  <c r="D66" i="7"/>
  <c r="E66" i="7"/>
  <c r="F66" i="7"/>
  <c r="H66" i="7"/>
  <c r="I66" i="7"/>
  <c r="K66" i="7"/>
  <c r="B67" i="7"/>
  <c r="C67" i="7"/>
  <c r="D67" i="7"/>
  <c r="E67" i="7"/>
  <c r="F67" i="7"/>
  <c r="H67" i="7"/>
  <c r="I67" i="7"/>
  <c r="K67" i="7"/>
  <c r="B68" i="7"/>
  <c r="C68" i="7"/>
  <c r="D68" i="7"/>
  <c r="E68" i="7"/>
  <c r="F68" i="7"/>
  <c r="H68" i="7"/>
  <c r="I68" i="7"/>
  <c r="K68" i="7"/>
  <c r="B69" i="7"/>
  <c r="C69" i="7"/>
  <c r="D69" i="7"/>
  <c r="E69" i="7"/>
  <c r="F69" i="7"/>
  <c r="H69" i="7"/>
  <c r="I69" i="7"/>
  <c r="K69" i="7"/>
  <c r="B70" i="7"/>
  <c r="C70" i="7"/>
  <c r="D70" i="7"/>
  <c r="E70" i="7"/>
  <c r="F70" i="7"/>
  <c r="H70" i="7"/>
  <c r="I70" i="7"/>
  <c r="K70" i="7"/>
  <c r="B71" i="7"/>
  <c r="C71" i="7"/>
  <c r="D71" i="7"/>
  <c r="E71" i="7"/>
  <c r="F71" i="7"/>
  <c r="H71" i="7"/>
  <c r="I71" i="7"/>
  <c r="K71" i="7"/>
  <c r="B72" i="7"/>
  <c r="C72" i="7"/>
  <c r="D72" i="7"/>
  <c r="E72" i="7"/>
  <c r="F72" i="7"/>
  <c r="H72" i="7"/>
  <c r="I72" i="7"/>
  <c r="K72" i="7"/>
  <c r="B73" i="7"/>
  <c r="C73" i="7"/>
  <c r="D73" i="7"/>
  <c r="E73" i="7"/>
  <c r="F73" i="7"/>
  <c r="H73" i="7"/>
  <c r="I73" i="7"/>
  <c r="K73" i="7"/>
  <c r="B74" i="7"/>
  <c r="C74" i="7"/>
  <c r="D74" i="7"/>
  <c r="E74" i="7"/>
  <c r="F74" i="7"/>
  <c r="H74" i="7"/>
  <c r="I74" i="7"/>
  <c r="K74" i="7"/>
  <c r="B75" i="7"/>
  <c r="C75" i="7"/>
  <c r="D75" i="7"/>
  <c r="E75" i="7"/>
  <c r="F75" i="7"/>
  <c r="H75" i="7"/>
  <c r="I75" i="7"/>
  <c r="K75" i="7"/>
  <c r="B76" i="7"/>
  <c r="C76" i="7"/>
  <c r="D76" i="7"/>
  <c r="E76" i="7"/>
  <c r="F76" i="7"/>
  <c r="H76" i="7"/>
  <c r="I76" i="7"/>
  <c r="K76" i="7"/>
  <c r="B77" i="7"/>
  <c r="C77" i="7"/>
  <c r="D77" i="7"/>
  <c r="E77" i="7"/>
  <c r="F77" i="7"/>
  <c r="H77" i="7"/>
  <c r="I77" i="7"/>
  <c r="K77" i="7"/>
  <c r="B78" i="7"/>
  <c r="C78" i="7"/>
  <c r="D78" i="7"/>
  <c r="E78" i="7"/>
  <c r="F78" i="7"/>
  <c r="H78" i="7"/>
  <c r="I78" i="7"/>
  <c r="K78" i="7"/>
  <c r="B79" i="7"/>
  <c r="C79" i="7"/>
  <c r="D79" i="7"/>
  <c r="E79" i="7"/>
  <c r="F79" i="7"/>
  <c r="H79" i="7"/>
  <c r="I79" i="7"/>
  <c r="K79" i="7"/>
  <c r="B80" i="7"/>
  <c r="C80" i="7"/>
  <c r="D80" i="7"/>
  <c r="E80" i="7"/>
  <c r="F80" i="7"/>
  <c r="H80" i="7"/>
  <c r="I80" i="7"/>
  <c r="K80" i="7"/>
  <c r="B81" i="7"/>
  <c r="C81" i="7"/>
  <c r="D81" i="7"/>
  <c r="E81" i="7"/>
  <c r="F81" i="7"/>
  <c r="H81" i="7"/>
  <c r="I81" i="7"/>
  <c r="K81" i="7"/>
  <c r="B82" i="7"/>
  <c r="C82" i="7"/>
  <c r="D82" i="7"/>
  <c r="E82" i="7"/>
  <c r="F82" i="7"/>
  <c r="H82" i="7"/>
  <c r="I82" i="7"/>
  <c r="K82" i="7"/>
  <c r="B83" i="7"/>
  <c r="C83" i="7"/>
  <c r="D83" i="7"/>
  <c r="E83" i="7"/>
  <c r="F83" i="7"/>
  <c r="H83" i="7"/>
  <c r="I83" i="7"/>
  <c r="K83" i="7"/>
  <c r="B84" i="7"/>
  <c r="C84" i="7"/>
  <c r="D84" i="7"/>
  <c r="E84" i="7"/>
  <c r="F84" i="7"/>
  <c r="H84" i="7"/>
  <c r="I84" i="7"/>
  <c r="K84" i="7"/>
  <c r="K86" i="7"/>
  <c r="B87" i="7"/>
  <c r="C87" i="7"/>
  <c r="D87" i="7"/>
  <c r="E87" i="7"/>
  <c r="F87" i="7"/>
  <c r="H87" i="7"/>
  <c r="I87" i="7"/>
  <c r="K87" i="7"/>
  <c r="B88" i="7"/>
  <c r="C88" i="7"/>
  <c r="D88" i="7"/>
  <c r="E88" i="7"/>
  <c r="F88" i="7"/>
  <c r="H88" i="7"/>
  <c r="I88" i="7"/>
  <c r="K88" i="7"/>
  <c r="B89" i="7"/>
  <c r="C89" i="7"/>
  <c r="D89" i="7"/>
  <c r="E89" i="7"/>
  <c r="F89" i="7"/>
  <c r="H89" i="7"/>
  <c r="I89" i="7"/>
  <c r="K89" i="7"/>
  <c r="B90" i="7"/>
  <c r="C90" i="7"/>
  <c r="D90" i="7"/>
  <c r="E90" i="7"/>
  <c r="F90" i="7"/>
  <c r="H90" i="7"/>
  <c r="I90" i="7"/>
  <c r="K90" i="7"/>
  <c r="B91" i="7"/>
  <c r="C91" i="7"/>
  <c r="D91" i="7"/>
  <c r="E91" i="7"/>
  <c r="F91" i="7"/>
  <c r="H91" i="7"/>
  <c r="I91" i="7"/>
  <c r="K91" i="7"/>
  <c r="B92" i="7"/>
  <c r="C92" i="7"/>
  <c r="D92" i="7"/>
  <c r="E92" i="7"/>
  <c r="F92" i="7"/>
  <c r="H92" i="7"/>
  <c r="I92" i="7"/>
  <c r="K92" i="7"/>
  <c r="B93" i="7"/>
  <c r="C93" i="7"/>
  <c r="D93" i="7"/>
  <c r="E93" i="7"/>
  <c r="F93" i="7"/>
  <c r="H93" i="7"/>
  <c r="I93" i="7"/>
  <c r="K93" i="7"/>
  <c r="B94" i="7"/>
  <c r="C94" i="7"/>
  <c r="D94" i="7"/>
  <c r="E94" i="7"/>
  <c r="F94" i="7"/>
  <c r="H94" i="7"/>
  <c r="I94" i="7"/>
  <c r="K94" i="7"/>
  <c r="C96" i="7"/>
  <c r="D96" i="7"/>
  <c r="E96" i="7"/>
  <c r="F96" i="7"/>
  <c r="H96" i="7"/>
  <c r="I96" i="7"/>
  <c r="K96" i="7"/>
  <c r="C97" i="7"/>
  <c r="D97" i="7"/>
  <c r="E97" i="7"/>
  <c r="F97" i="7"/>
  <c r="H97" i="7"/>
  <c r="I97" i="7"/>
  <c r="K97" i="7"/>
  <c r="C98" i="7"/>
  <c r="D98" i="7"/>
  <c r="E98" i="7"/>
  <c r="F98" i="7"/>
  <c r="H98" i="7"/>
  <c r="I98" i="7"/>
  <c r="K98" i="7"/>
  <c r="C99" i="7"/>
  <c r="D99" i="7"/>
  <c r="E99" i="7"/>
  <c r="F99" i="7"/>
  <c r="H99" i="7"/>
  <c r="I99" i="7"/>
  <c r="K99" i="7"/>
  <c r="C100" i="7"/>
  <c r="D100" i="7"/>
  <c r="E100" i="7"/>
  <c r="F100" i="7"/>
  <c r="H100" i="7"/>
  <c r="I100" i="7"/>
  <c r="K100" i="7"/>
  <c r="C101" i="7"/>
  <c r="D101" i="7"/>
  <c r="E101" i="7"/>
  <c r="F101" i="7"/>
  <c r="H101" i="7"/>
  <c r="I101" i="7"/>
  <c r="K101" i="7"/>
  <c r="C102" i="7"/>
  <c r="D102" i="7"/>
  <c r="E102" i="7"/>
  <c r="F102" i="7"/>
  <c r="H102" i="7"/>
  <c r="I102" i="7"/>
  <c r="K102" i="7"/>
  <c r="K57" i="7"/>
  <c r="I57" i="7"/>
  <c r="H57" i="7"/>
  <c r="F57" i="7"/>
  <c r="E57" i="7"/>
  <c r="D57" i="7"/>
  <c r="C57" i="7"/>
  <c r="B57" i="7"/>
  <c r="B29" i="8"/>
  <c r="C29" i="8"/>
  <c r="D29" i="8"/>
  <c r="E29" i="8"/>
  <c r="B30" i="8"/>
  <c r="C30" i="8"/>
  <c r="D30" i="8"/>
  <c r="E30" i="8"/>
  <c r="E28" i="8"/>
  <c r="D28" i="8"/>
  <c r="C28" i="8"/>
  <c r="B28" i="8"/>
  <c r="D28" i="7"/>
  <c r="D29" i="7"/>
  <c r="D30" i="7"/>
  <c r="D31" i="7"/>
  <c r="D32" i="7"/>
  <c r="D33" i="7"/>
  <c r="D34" i="7"/>
  <c r="D35" i="7"/>
  <c r="D38" i="7"/>
  <c r="B29" i="7"/>
  <c r="C29" i="7"/>
  <c r="E29" i="7"/>
  <c r="F29" i="7"/>
  <c r="H29" i="7"/>
  <c r="I29" i="7"/>
  <c r="K29" i="7"/>
  <c r="B30" i="7"/>
  <c r="C30" i="7"/>
  <c r="E30" i="7"/>
  <c r="F30" i="7"/>
  <c r="H30" i="7"/>
  <c r="I30" i="7"/>
  <c r="K30" i="7"/>
  <c r="B31" i="7"/>
  <c r="C31" i="7"/>
  <c r="E31" i="7"/>
  <c r="F31" i="7"/>
  <c r="H31" i="7"/>
  <c r="I31" i="7"/>
  <c r="K31" i="7"/>
  <c r="B32" i="7"/>
  <c r="C32" i="7"/>
  <c r="E32" i="7"/>
  <c r="F32" i="7"/>
  <c r="H32" i="7"/>
  <c r="I32" i="7"/>
  <c r="K32" i="7"/>
  <c r="B33" i="7"/>
  <c r="C33" i="7"/>
  <c r="E33" i="7"/>
  <c r="F33" i="7"/>
  <c r="H33" i="7"/>
  <c r="I33" i="7"/>
  <c r="K33" i="7"/>
  <c r="B34" i="7"/>
  <c r="C34" i="7"/>
  <c r="E34" i="7"/>
  <c r="F34" i="7"/>
  <c r="H34" i="7"/>
  <c r="I34" i="7"/>
  <c r="K34" i="7"/>
  <c r="B35" i="7"/>
  <c r="C35" i="7"/>
  <c r="E35" i="7"/>
  <c r="F35" i="7"/>
  <c r="H35" i="7"/>
  <c r="I35" i="7"/>
  <c r="K35" i="7"/>
  <c r="B36" i="7"/>
  <c r="C36" i="7"/>
  <c r="D36" i="7"/>
  <c r="E36" i="7"/>
  <c r="F36" i="7"/>
  <c r="H36" i="7"/>
  <c r="I36" i="7"/>
  <c r="K36" i="7"/>
  <c r="B37" i="7"/>
  <c r="C37" i="7"/>
  <c r="D37" i="7"/>
  <c r="E37" i="7"/>
  <c r="F37" i="7"/>
  <c r="H37" i="7"/>
  <c r="I37" i="7"/>
  <c r="K37" i="7"/>
  <c r="B38" i="7"/>
  <c r="C38" i="7"/>
  <c r="E38" i="7"/>
  <c r="F38" i="7"/>
  <c r="H38" i="7"/>
  <c r="I38" i="7"/>
  <c r="K38" i="7"/>
  <c r="K28" i="7"/>
  <c r="I28" i="7"/>
  <c r="H28" i="7"/>
  <c r="F28" i="7"/>
  <c r="E28" i="7"/>
  <c r="C28" i="7"/>
  <c r="B28" i="7"/>
  <c r="H31" i="9"/>
  <c r="K9" i="3"/>
  <c r="BA39" i="9"/>
  <c r="H24" i="9"/>
  <c r="H5" i="9"/>
  <c r="D51" i="4"/>
  <c r="K51" i="4"/>
  <c r="D52" i="4"/>
  <c r="K52" i="4"/>
  <c r="K6" i="3"/>
  <c r="O18" i="1"/>
  <c r="O13" i="1"/>
  <c r="T32" i="11"/>
  <c r="T37" i="11"/>
  <c r="T35" i="11"/>
  <c r="T40" i="11"/>
  <c r="T30" i="11"/>
  <c r="T22" i="11"/>
  <c r="T46" i="11"/>
  <c r="T31" i="11"/>
  <c r="T43" i="11"/>
  <c r="T16" i="11"/>
  <c r="T23" i="11"/>
  <c r="T38" i="11"/>
  <c r="T24" i="11"/>
  <c r="T21" i="11"/>
  <c r="T41" i="11"/>
  <c r="T36" i="11"/>
  <c r="T20" i="11"/>
  <c r="T33" i="11"/>
  <c r="T34" i="11"/>
  <c r="T47" i="11"/>
  <c r="T14" i="11"/>
  <c r="T11" i="11"/>
  <c r="T15" i="11"/>
  <c r="T13" i="11"/>
  <c r="T12" i="11"/>
  <c r="T39" i="11"/>
  <c r="T17" i="11"/>
  <c r="T48" i="11"/>
  <c r="T42" i="11"/>
  <c r="T10" i="11"/>
  <c r="T44" i="11"/>
  <c r="T27" i="11"/>
  <c r="T26" i="11"/>
  <c r="T28" i="11"/>
  <c r="T18" i="11"/>
  <c r="T45" i="11"/>
  <c r="T29" i="11"/>
  <c r="T25" i="11"/>
  <c r="T19" i="11"/>
  <c r="G61" i="8" l="1"/>
  <c r="G64" i="8"/>
  <c r="F43" i="11"/>
  <c r="H43" i="11" s="1"/>
  <c r="F32" i="11"/>
  <c r="H32" i="11" s="1"/>
  <c r="H12" i="11"/>
  <c r="H7" i="11"/>
  <c r="H5" i="11"/>
  <c r="H10" i="11"/>
  <c r="H11" i="11"/>
  <c r="H13" i="11"/>
  <c r="H17" i="11"/>
  <c r="H22" i="11"/>
  <c r="H15" i="11"/>
  <c r="H21" i="11"/>
  <c r="H16" i="11"/>
  <c r="H19" i="11"/>
  <c r="H23" i="11"/>
  <c r="H20" i="11"/>
  <c r="H14" i="11"/>
  <c r="H9" i="11"/>
  <c r="H18" i="11"/>
  <c r="H25" i="11"/>
  <c r="H26" i="11"/>
  <c r="H24" i="11"/>
  <c r="H4" i="11"/>
  <c r="G8" i="11"/>
  <c r="H8" i="11" s="1"/>
  <c r="G6" i="11"/>
  <c r="H6" i="11" s="1"/>
  <c r="G3" i="11"/>
  <c r="H3" i="11" s="1"/>
  <c r="AN4" i="9"/>
  <c r="H83" i="9"/>
  <c r="H6" i="9"/>
  <c r="K57" i="3"/>
  <c r="G117" i="8" s="1"/>
  <c r="K58" i="3"/>
  <c r="G118" i="8" s="1"/>
  <c r="K67" i="3"/>
  <c r="G127" i="8" s="1"/>
  <c r="AN4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BI87" i="9"/>
  <c r="BH87" i="9"/>
  <c r="BG87" i="9"/>
  <c r="BF87" i="9"/>
  <c r="BE87" i="9"/>
  <c r="BD87" i="9"/>
  <c r="BC87" i="9"/>
  <c r="BB87" i="9"/>
  <c r="BA87" i="9"/>
  <c r="AZ87" i="9"/>
  <c r="AY87" i="9"/>
  <c r="AX87" i="9"/>
  <c r="AW87" i="9"/>
  <c r="AV87" i="9"/>
  <c r="AU87" i="9"/>
  <c r="AT87" i="9"/>
  <c r="AS87" i="9"/>
  <c r="AR87" i="9"/>
  <c r="AQ87" i="9"/>
  <c r="AP87" i="9"/>
  <c r="AO87" i="9"/>
  <c r="AN87" i="9"/>
  <c r="H87" i="9"/>
  <c r="L76" i="12" l="1"/>
  <c r="N76" i="12" s="1"/>
  <c r="H72" i="8"/>
  <c r="L72" i="12"/>
  <c r="N72" i="12" s="1"/>
  <c r="H73" i="8"/>
  <c r="L60" i="12"/>
  <c r="N60" i="12" s="1"/>
  <c r="H68" i="8"/>
  <c r="L31" i="12"/>
  <c r="N31" i="12" s="1"/>
  <c r="H70" i="8"/>
  <c r="L62" i="12"/>
  <c r="N62" i="12" s="1"/>
  <c r="H69" i="8"/>
  <c r="L29" i="12"/>
  <c r="N29" i="12" s="1"/>
  <c r="H79" i="8"/>
  <c r="L13" i="12"/>
  <c r="N13" i="12" s="1"/>
  <c r="H62" i="8"/>
  <c r="L57" i="12"/>
  <c r="N57" i="12" s="1"/>
  <c r="H71" i="8"/>
  <c r="L44" i="12"/>
  <c r="N44" i="12" s="1"/>
  <c r="H85" i="8"/>
  <c r="L73" i="12"/>
  <c r="N73" i="12" s="1"/>
  <c r="H67" i="8"/>
  <c r="L75" i="12"/>
  <c r="N75" i="12" s="1"/>
  <c r="H77" i="8"/>
  <c r="L69" i="12"/>
  <c r="N69" i="12" s="1"/>
  <c r="H76" i="8"/>
  <c r="L32" i="12"/>
  <c r="N32" i="12" s="1"/>
  <c r="H58" i="8"/>
  <c r="H127" i="8"/>
  <c r="H126" i="8"/>
  <c r="H114" i="8"/>
  <c r="L61" i="12"/>
  <c r="N61" i="12" s="1"/>
  <c r="H81" i="8"/>
  <c r="L40" i="12"/>
  <c r="N40" i="12" s="1"/>
  <c r="H78" i="8"/>
  <c r="L12" i="12"/>
  <c r="N12" i="12" s="1"/>
  <c r="H65" i="8"/>
  <c r="L14" i="12"/>
  <c r="N14" i="12" s="1"/>
  <c r="H75" i="8"/>
  <c r="L33" i="12"/>
  <c r="N33" i="12" s="1"/>
  <c r="H74" i="8"/>
  <c r="L104" i="12"/>
  <c r="N104" i="12" s="1"/>
  <c r="L105" i="12"/>
  <c r="N105" i="12" s="1"/>
  <c r="G79" i="7"/>
  <c r="G83" i="7"/>
  <c r="G82" i="7"/>
  <c r="G67" i="7"/>
  <c r="G65" i="7"/>
  <c r="G77" i="7"/>
  <c r="G58" i="7"/>
  <c r="G70" i="7"/>
  <c r="G81" i="7"/>
  <c r="G78" i="7"/>
  <c r="G62" i="7"/>
  <c r="G71" i="7"/>
  <c r="G69" i="7"/>
  <c r="G68" i="7"/>
  <c r="G76" i="7"/>
  <c r="G75" i="7"/>
  <c r="G74" i="7"/>
  <c r="G73" i="7"/>
  <c r="G72" i="7"/>
  <c r="BK87" i="9"/>
  <c r="BN6" i="9"/>
  <c r="BJ6" i="9"/>
  <c r="BM87" i="9"/>
  <c r="BO87" i="9"/>
  <c r="BL6" i="9"/>
  <c r="BL87" i="9"/>
  <c r="BP87" i="9"/>
  <c r="BP6" i="9"/>
  <c r="BM6" i="9"/>
  <c r="BO6" i="9"/>
  <c r="BJ87" i="9"/>
  <c r="BN87" i="9"/>
  <c r="BK6" i="9"/>
  <c r="F59" i="11"/>
  <c r="H59" i="11" s="1"/>
  <c r="F58" i="11"/>
  <c r="H58" i="11" s="1"/>
  <c r="F56" i="11"/>
  <c r="H56" i="11" s="1"/>
  <c r="F38" i="11"/>
  <c r="H38" i="11" s="1"/>
  <c r="F51" i="11"/>
  <c r="H51" i="11" s="1"/>
  <c r="F41" i="11"/>
  <c r="H41" i="11" s="1"/>
  <c r="F36" i="11"/>
  <c r="H36" i="11" s="1"/>
  <c r="F35" i="11"/>
  <c r="H35" i="11" s="1"/>
  <c r="F37" i="11"/>
  <c r="H37" i="11" s="1"/>
  <c r="F34" i="11"/>
  <c r="H34" i="11" s="1"/>
  <c r="F55" i="11"/>
  <c r="H55" i="11" s="1"/>
  <c r="F33" i="11"/>
  <c r="H33" i="11" s="1"/>
  <c r="F57" i="11"/>
  <c r="H57" i="11" s="1"/>
  <c r="F53" i="11"/>
  <c r="H53" i="11" s="1"/>
  <c r="F42" i="11"/>
  <c r="H42" i="11" s="1"/>
  <c r="F60" i="11"/>
  <c r="H60" i="11" s="1"/>
  <c r="F39" i="11"/>
  <c r="H39" i="11" s="1"/>
  <c r="F48" i="11"/>
  <c r="H48" i="11" s="1"/>
  <c r="F54" i="11"/>
  <c r="H54" i="11" s="1"/>
  <c r="F52" i="11"/>
  <c r="H52" i="11" s="1"/>
  <c r="F47" i="11"/>
  <c r="H47" i="11" s="1"/>
  <c r="F45" i="11"/>
  <c r="H45" i="11" s="1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BA68" i="9"/>
  <c r="BB68" i="9"/>
  <c r="BC68" i="9"/>
  <c r="BD68" i="9"/>
  <c r="BE68" i="9"/>
  <c r="BF68" i="9"/>
  <c r="BG68" i="9"/>
  <c r="BH68" i="9"/>
  <c r="BI68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BA63" i="9"/>
  <c r="BB63" i="9"/>
  <c r="BC63" i="9"/>
  <c r="BD63" i="9"/>
  <c r="BE63" i="9"/>
  <c r="BF63" i="9"/>
  <c r="BG63" i="9"/>
  <c r="BH63" i="9"/>
  <c r="BI63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BA58" i="9"/>
  <c r="BB58" i="9"/>
  <c r="BC58" i="9"/>
  <c r="BD58" i="9"/>
  <c r="BE58" i="9"/>
  <c r="BF58" i="9"/>
  <c r="BG58" i="9"/>
  <c r="BH58" i="9"/>
  <c r="BI58" i="9"/>
  <c r="AN106" i="9"/>
  <c r="AO106" i="9"/>
  <c r="AP106" i="9"/>
  <c r="AQ106" i="9"/>
  <c r="AR106" i="9"/>
  <c r="AS106" i="9"/>
  <c r="AT106" i="9"/>
  <c r="AU106" i="9"/>
  <c r="AV106" i="9"/>
  <c r="AW106" i="9"/>
  <c r="AX106" i="9"/>
  <c r="AY106" i="9"/>
  <c r="AZ106" i="9"/>
  <c r="BA106" i="9"/>
  <c r="BB106" i="9"/>
  <c r="BC106" i="9"/>
  <c r="BD106" i="9"/>
  <c r="BE106" i="9"/>
  <c r="BF106" i="9"/>
  <c r="BG106" i="9"/>
  <c r="BH106" i="9"/>
  <c r="BI106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BA70" i="9"/>
  <c r="BB70" i="9"/>
  <c r="BC70" i="9"/>
  <c r="BD70" i="9"/>
  <c r="BE70" i="9"/>
  <c r="BF70" i="9"/>
  <c r="BG70" i="9"/>
  <c r="BH70" i="9"/>
  <c r="BI70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BA26" i="9"/>
  <c r="BB26" i="9"/>
  <c r="BC26" i="9"/>
  <c r="BD26" i="9"/>
  <c r="BE26" i="9"/>
  <c r="BF26" i="9"/>
  <c r="BG26" i="9"/>
  <c r="BH26" i="9"/>
  <c r="BI26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BA44" i="9"/>
  <c r="BB44" i="9"/>
  <c r="BC44" i="9"/>
  <c r="BD44" i="9"/>
  <c r="BE44" i="9"/>
  <c r="BF44" i="9"/>
  <c r="BG44" i="9"/>
  <c r="BH44" i="9"/>
  <c r="BI44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BA71" i="9"/>
  <c r="BB71" i="9"/>
  <c r="BC71" i="9"/>
  <c r="BD71" i="9"/>
  <c r="BE71" i="9"/>
  <c r="BF71" i="9"/>
  <c r="BG71" i="9"/>
  <c r="BH71" i="9"/>
  <c r="BI71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BA43" i="9"/>
  <c r="BB43" i="9"/>
  <c r="BC43" i="9"/>
  <c r="BD43" i="9"/>
  <c r="BE43" i="9"/>
  <c r="BF43" i="9"/>
  <c r="BG43" i="9"/>
  <c r="BH43" i="9"/>
  <c r="BI43" i="9"/>
  <c r="AN38" i="9"/>
  <c r="AO38" i="9"/>
  <c r="AP38" i="9"/>
  <c r="AQ38" i="9"/>
  <c r="AR38" i="9"/>
  <c r="AS38" i="9"/>
  <c r="AT38" i="9"/>
  <c r="AU38" i="9"/>
  <c r="AV38" i="9"/>
  <c r="AW38" i="9"/>
  <c r="AX38" i="9"/>
  <c r="AY38" i="9"/>
  <c r="AZ38" i="9"/>
  <c r="BA38" i="9"/>
  <c r="BB38" i="9"/>
  <c r="BC38" i="9"/>
  <c r="BD38" i="9"/>
  <c r="BE38" i="9"/>
  <c r="BF38" i="9"/>
  <c r="BG38" i="9"/>
  <c r="BH38" i="9"/>
  <c r="BI38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BA47" i="9"/>
  <c r="BB47" i="9"/>
  <c r="BC47" i="9"/>
  <c r="BD47" i="9"/>
  <c r="BE47" i="9"/>
  <c r="BF47" i="9"/>
  <c r="BG47" i="9"/>
  <c r="BH47" i="9"/>
  <c r="BI47" i="9"/>
  <c r="AO107" i="9"/>
  <c r="AP107" i="9"/>
  <c r="AQ107" i="9"/>
  <c r="AR107" i="9"/>
  <c r="AS107" i="9"/>
  <c r="AT107" i="9"/>
  <c r="AU107" i="9"/>
  <c r="AV107" i="9"/>
  <c r="AW107" i="9"/>
  <c r="AX107" i="9"/>
  <c r="AY107" i="9"/>
  <c r="AZ107" i="9"/>
  <c r="BA107" i="9"/>
  <c r="BB107" i="9"/>
  <c r="BC107" i="9"/>
  <c r="BD107" i="9"/>
  <c r="BE107" i="9"/>
  <c r="BF107" i="9"/>
  <c r="BG107" i="9"/>
  <c r="BH107" i="9"/>
  <c r="BI107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BA22" i="9"/>
  <c r="BB22" i="9"/>
  <c r="BC22" i="9"/>
  <c r="BD22" i="9"/>
  <c r="BE22" i="9"/>
  <c r="BF22" i="9"/>
  <c r="BG22" i="9"/>
  <c r="BH22" i="9"/>
  <c r="BI22" i="9"/>
  <c r="AN80" i="9"/>
  <c r="AO80" i="9"/>
  <c r="AP80" i="9"/>
  <c r="AQ80" i="9"/>
  <c r="AR80" i="9"/>
  <c r="AS80" i="9"/>
  <c r="AT80" i="9"/>
  <c r="AU80" i="9"/>
  <c r="AV80" i="9"/>
  <c r="AW80" i="9"/>
  <c r="AX80" i="9"/>
  <c r="AY80" i="9"/>
  <c r="AZ80" i="9"/>
  <c r="BA80" i="9"/>
  <c r="BB80" i="9"/>
  <c r="BC80" i="9"/>
  <c r="BD80" i="9"/>
  <c r="BE80" i="9"/>
  <c r="BF80" i="9"/>
  <c r="BG80" i="9"/>
  <c r="BH80" i="9"/>
  <c r="BI80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BA62" i="9"/>
  <c r="BB62" i="9"/>
  <c r="BC62" i="9"/>
  <c r="BD62" i="9"/>
  <c r="BE62" i="9"/>
  <c r="BF62" i="9"/>
  <c r="BG62" i="9"/>
  <c r="BH62" i="9"/>
  <c r="BI62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BA74" i="9"/>
  <c r="BB74" i="9"/>
  <c r="BC74" i="9"/>
  <c r="BD74" i="9"/>
  <c r="BE74" i="9"/>
  <c r="BF74" i="9"/>
  <c r="BG74" i="9"/>
  <c r="BH74" i="9"/>
  <c r="BI74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BA90" i="9"/>
  <c r="BB90" i="9"/>
  <c r="BC90" i="9"/>
  <c r="BD90" i="9"/>
  <c r="BE90" i="9"/>
  <c r="BF90" i="9"/>
  <c r="BG90" i="9"/>
  <c r="BH90" i="9"/>
  <c r="BI90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BA89" i="9"/>
  <c r="BB89" i="9"/>
  <c r="BC89" i="9"/>
  <c r="BD89" i="9"/>
  <c r="BE89" i="9"/>
  <c r="BF89" i="9"/>
  <c r="BG89" i="9"/>
  <c r="BH89" i="9"/>
  <c r="BI89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BA12" i="9"/>
  <c r="BB12" i="9"/>
  <c r="BC12" i="9"/>
  <c r="BD12" i="9"/>
  <c r="BE12" i="9"/>
  <c r="BF12" i="9"/>
  <c r="BG12" i="9"/>
  <c r="BH12" i="9"/>
  <c r="BI12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D19" i="9"/>
  <c r="BE19" i="9"/>
  <c r="BF19" i="9"/>
  <c r="BG19" i="9"/>
  <c r="BH19" i="9"/>
  <c r="BI19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BA27" i="9"/>
  <c r="BB27" i="9"/>
  <c r="BC27" i="9"/>
  <c r="BD27" i="9"/>
  <c r="BE27" i="9"/>
  <c r="BF27" i="9"/>
  <c r="BG27" i="9"/>
  <c r="BH27" i="9"/>
  <c r="BI27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BA56" i="9"/>
  <c r="BB56" i="9"/>
  <c r="BC56" i="9"/>
  <c r="BD56" i="9"/>
  <c r="BE56" i="9"/>
  <c r="BF56" i="9"/>
  <c r="BG56" i="9"/>
  <c r="BH56" i="9"/>
  <c r="BI56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BA28" i="9"/>
  <c r="BB28" i="9"/>
  <c r="BC28" i="9"/>
  <c r="BD28" i="9"/>
  <c r="BE28" i="9"/>
  <c r="BF28" i="9"/>
  <c r="BG28" i="9"/>
  <c r="BH28" i="9"/>
  <c r="BI28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BA33" i="9"/>
  <c r="BB33" i="9"/>
  <c r="BC33" i="9"/>
  <c r="BD33" i="9"/>
  <c r="BE33" i="9"/>
  <c r="BF33" i="9"/>
  <c r="BG33" i="9"/>
  <c r="BH33" i="9"/>
  <c r="BI33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BA45" i="9"/>
  <c r="BB45" i="9"/>
  <c r="BC45" i="9"/>
  <c r="BD45" i="9"/>
  <c r="BE45" i="9"/>
  <c r="BF45" i="9"/>
  <c r="BG45" i="9"/>
  <c r="BH45" i="9"/>
  <c r="BI45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BE7" i="9"/>
  <c r="BF7" i="9"/>
  <c r="BG7" i="9"/>
  <c r="BH7" i="9"/>
  <c r="BI7" i="9"/>
  <c r="AN109" i="9"/>
  <c r="AO109" i="9"/>
  <c r="AP109" i="9"/>
  <c r="AQ109" i="9"/>
  <c r="AR109" i="9"/>
  <c r="AS109" i="9"/>
  <c r="AT109" i="9"/>
  <c r="AU109" i="9"/>
  <c r="AV109" i="9"/>
  <c r="AW109" i="9"/>
  <c r="AX109" i="9"/>
  <c r="AY109" i="9"/>
  <c r="AZ109" i="9"/>
  <c r="BA109" i="9"/>
  <c r="BB109" i="9"/>
  <c r="BC109" i="9"/>
  <c r="BD109" i="9"/>
  <c r="BE109" i="9"/>
  <c r="BF109" i="9"/>
  <c r="BG109" i="9"/>
  <c r="BH109" i="9"/>
  <c r="BI109" i="9"/>
  <c r="AN110" i="9"/>
  <c r="AO110" i="9"/>
  <c r="AP110" i="9"/>
  <c r="AQ110" i="9"/>
  <c r="AR110" i="9"/>
  <c r="AS110" i="9"/>
  <c r="AT110" i="9"/>
  <c r="AU110" i="9"/>
  <c r="AV110" i="9"/>
  <c r="AW110" i="9"/>
  <c r="AX110" i="9"/>
  <c r="AY110" i="9"/>
  <c r="AZ110" i="9"/>
  <c r="BA110" i="9"/>
  <c r="BB110" i="9"/>
  <c r="BC110" i="9"/>
  <c r="BD110" i="9"/>
  <c r="BE110" i="9"/>
  <c r="BF110" i="9"/>
  <c r="BG110" i="9"/>
  <c r="BH110" i="9"/>
  <c r="BI110" i="9"/>
  <c r="AN15" i="9"/>
  <c r="AO15" i="9"/>
  <c r="AP15" i="9"/>
  <c r="AQ15" i="9"/>
  <c r="AR15" i="9"/>
  <c r="AS15" i="9"/>
  <c r="AT15" i="9"/>
  <c r="AU15" i="9"/>
  <c r="AV15" i="9"/>
  <c r="AW15" i="9"/>
  <c r="AX15" i="9"/>
  <c r="AY15" i="9"/>
  <c r="AZ15" i="9"/>
  <c r="BA15" i="9"/>
  <c r="BB15" i="9"/>
  <c r="BC15" i="9"/>
  <c r="BD15" i="9"/>
  <c r="BE15" i="9"/>
  <c r="BF15" i="9"/>
  <c r="BG15" i="9"/>
  <c r="BH15" i="9"/>
  <c r="BI15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BA10" i="9"/>
  <c r="BB10" i="9"/>
  <c r="BC10" i="9"/>
  <c r="BD10" i="9"/>
  <c r="BE10" i="9"/>
  <c r="BF10" i="9"/>
  <c r="BG10" i="9"/>
  <c r="BH10" i="9"/>
  <c r="BI10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BA24" i="9"/>
  <c r="BB24" i="9"/>
  <c r="BC24" i="9"/>
  <c r="BD24" i="9"/>
  <c r="BE24" i="9"/>
  <c r="BF24" i="9"/>
  <c r="BG24" i="9"/>
  <c r="BH24" i="9"/>
  <c r="BI24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BA9" i="9"/>
  <c r="BB9" i="9"/>
  <c r="BC9" i="9"/>
  <c r="BD9" i="9"/>
  <c r="BE9" i="9"/>
  <c r="BF9" i="9"/>
  <c r="BG9" i="9"/>
  <c r="BH9" i="9"/>
  <c r="BI9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BA40" i="9"/>
  <c r="BB40" i="9"/>
  <c r="BC40" i="9"/>
  <c r="BD40" i="9"/>
  <c r="BE40" i="9"/>
  <c r="BF40" i="9"/>
  <c r="BG40" i="9"/>
  <c r="BH40" i="9"/>
  <c r="BI40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BA32" i="9"/>
  <c r="BB32" i="9"/>
  <c r="BC32" i="9"/>
  <c r="BD32" i="9"/>
  <c r="BE32" i="9"/>
  <c r="BF32" i="9"/>
  <c r="BG32" i="9"/>
  <c r="BH32" i="9"/>
  <c r="BI32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BA8" i="9"/>
  <c r="BB8" i="9"/>
  <c r="BC8" i="9"/>
  <c r="BD8" i="9"/>
  <c r="BE8" i="9"/>
  <c r="BF8" i="9"/>
  <c r="BG8" i="9"/>
  <c r="BH8" i="9"/>
  <c r="BI8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BA51" i="9"/>
  <c r="BB51" i="9"/>
  <c r="BC51" i="9"/>
  <c r="BD51" i="9"/>
  <c r="BE51" i="9"/>
  <c r="BF51" i="9"/>
  <c r="BG51" i="9"/>
  <c r="BH51" i="9"/>
  <c r="BI51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BA36" i="9"/>
  <c r="BB36" i="9"/>
  <c r="BC36" i="9"/>
  <c r="BD36" i="9"/>
  <c r="BE36" i="9"/>
  <c r="BF36" i="9"/>
  <c r="BG36" i="9"/>
  <c r="BH36" i="9"/>
  <c r="BI36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BA53" i="9"/>
  <c r="BB53" i="9"/>
  <c r="BC53" i="9"/>
  <c r="BD53" i="9"/>
  <c r="BE53" i="9"/>
  <c r="BF53" i="9"/>
  <c r="BG53" i="9"/>
  <c r="BH53" i="9"/>
  <c r="BI53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BA14" i="9"/>
  <c r="BB14" i="9"/>
  <c r="BC14" i="9"/>
  <c r="BD14" i="9"/>
  <c r="BE14" i="9"/>
  <c r="BF14" i="9"/>
  <c r="BG14" i="9"/>
  <c r="BH14" i="9"/>
  <c r="BI14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BA21" i="9"/>
  <c r="BB21" i="9"/>
  <c r="BC21" i="9"/>
  <c r="BD21" i="9"/>
  <c r="BE21" i="9"/>
  <c r="BF21" i="9"/>
  <c r="BG21" i="9"/>
  <c r="BH21" i="9"/>
  <c r="BI21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BA57" i="9"/>
  <c r="BB57" i="9"/>
  <c r="BC57" i="9"/>
  <c r="BD57" i="9"/>
  <c r="BE57" i="9"/>
  <c r="BF57" i="9"/>
  <c r="BG57" i="9"/>
  <c r="BH57" i="9"/>
  <c r="BI57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BA49" i="9"/>
  <c r="BB49" i="9"/>
  <c r="BC49" i="9"/>
  <c r="BD49" i="9"/>
  <c r="BE49" i="9"/>
  <c r="BF49" i="9"/>
  <c r="BG49" i="9"/>
  <c r="BH49" i="9"/>
  <c r="BI49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C18" i="9"/>
  <c r="BD18" i="9"/>
  <c r="BE18" i="9"/>
  <c r="BF18" i="9"/>
  <c r="BG18" i="9"/>
  <c r="BH18" i="9"/>
  <c r="BI18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BA13" i="9"/>
  <c r="BB13" i="9"/>
  <c r="BC13" i="9"/>
  <c r="BD13" i="9"/>
  <c r="BE13" i="9"/>
  <c r="BF13" i="9"/>
  <c r="BG13" i="9"/>
  <c r="BH13" i="9"/>
  <c r="BI13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BA16" i="9"/>
  <c r="BB16" i="9"/>
  <c r="BC16" i="9"/>
  <c r="BD16" i="9"/>
  <c r="BE16" i="9"/>
  <c r="BF16" i="9"/>
  <c r="BG16" i="9"/>
  <c r="BH16" i="9"/>
  <c r="BI16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BA55" i="9"/>
  <c r="BB55" i="9"/>
  <c r="BC55" i="9"/>
  <c r="BD55" i="9"/>
  <c r="BE55" i="9"/>
  <c r="BF55" i="9"/>
  <c r="BG55" i="9"/>
  <c r="BH55" i="9"/>
  <c r="BI55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BA30" i="9"/>
  <c r="BB30" i="9"/>
  <c r="BC30" i="9"/>
  <c r="BD30" i="9"/>
  <c r="BE30" i="9"/>
  <c r="BF30" i="9"/>
  <c r="BG30" i="9"/>
  <c r="BH30" i="9"/>
  <c r="BI30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BA11" i="9"/>
  <c r="BB11" i="9"/>
  <c r="BC11" i="9"/>
  <c r="BD11" i="9"/>
  <c r="BE11" i="9"/>
  <c r="BF11" i="9"/>
  <c r="BG11" i="9"/>
  <c r="BH11" i="9"/>
  <c r="BI11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BA65" i="9"/>
  <c r="BB65" i="9"/>
  <c r="BC65" i="9"/>
  <c r="BD65" i="9"/>
  <c r="BE65" i="9"/>
  <c r="BF65" i="9"/>
  <c r="BG65" i="9"/>
  <c r="BH65" i="9"/>
  <c r="BI65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BA37" i="9"/>
  <c r="BB37" i="9"/>
  <c r="BC37" i="9"/>
  <c r="BD37" i="9"/>
  <c r="BE37" i="9"/>
  <c r="BF37" i="9"/>
  <c r="BG37" i="9"/>
  <c r="BH37" i="9"/>
  <c r="BI37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BA50" i="9"/>
  <c r="BB50" i="9"/>
  <c r="BC50" i="9"/>
  <c r="BD50" i="9"/>
  <c r="BE50" i="9"/>
  <c r="BF50" i="9"/>
  <c r="BG50" i="9"/>
  <c r="BH50" i="9"/>
  <c r="BI50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BA42" i="9"/>
  <c r="BB42" i="9"/>
  <c r="BC42" i="9"/>
  <c r="BD42" i="9"/>
  <c r="BE42" i="9"/>
  <c r="BF42" i="9"/>
  <c r="BG42" i="9"/>
  <c r="BH42" i="9"/>
  <c r="BI42" i="9"/>
  <c r="AO4" i="9"/>
  <c r="AP4" i="9"/>
  <c r="AQ4" i="9"/>
  <c r="AR4" i="9"/>
  <c r="AS4" i="9"/>
  <c r="AT4" i="9"/>
  <c r="AU4" i="9"/>
  <c r="AV4" i="9"/>
  <c r="AW4" i="9"/>
  <c r="AX4" i="9"/>
  <c r="AY4" i="9"/>
  <c r="AZ4" i="9"/>
  <c r="BA4" i="9"/>
  <c r="BB4" i="9"/>
  <c r="BC4" i="9"/>
  <c r="BD4" i="9"/>
  <c r="BE4" i="9"/>
  <c r="BF4" i="9"/>
  <c r="BG4" i="9"/>
  <c r="BH4" i="9"/>
  <c r="BI4" i="9"/>
  <c r="AN48" i="9"/>
  <c r="AO48" i="9"/>
  <c r="AP48" i="9"/>
  <c r="AQ48" i="9"/>
  <c r="AR48" i="9"/>
  <c r="AS48" i="9"/>
  <c r="AT48" i="9"/>
  <c r="AU48" i="9"/>
  <c r="AV48" i="9"/>
  <c r="AW48" i="9"/>
  <c r="AX48" i="9"/>
  <c r="AY48" i="9"/>
  <c r="AZ48" i="9"/>
  <c r="BA48" i="9"/>
  <c r="BB48" i="9"/>
  <c r="BC48" i="9"/>
  <c r="BD48" i="9"/>
  <c r="BE48" i="9"/>
  <c r="BF48" i="9"/>
  <c r="BG48" i="9"/>
  <c r="BH48" i="9"/>
  <c r="BI4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BA78" i="9"/>
  <c r="BB78" i="9"/>
  <c r="BC78" i="9"/>
  <c r="BD78" i="9"/>
  <c r="BE78" i="9"/>
  <c r="BF78" i="9"/>
  <c r="BG78" i="9"/>
  <c r="BH78" i="9"/>
  <c r="BI78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BA64" i="9"/>
  <c r="BB64" i="9"/>
  <c r="BC64" i="9"/>
  <c r="BD64" i="9"/>
  <c r="BE64" i="9"/>
  <c r="BF64" i="9"/>
  <c r="BG64" i="9"/>
  <c r="BH64" i="9"/>
  <c r="BI64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BA91" i="9"/>
  <c r="BB91" i="9"/>
  <c r="BC91" i="9"/>
  <c r="BD91" i="9"/>
  <c r="BE91" i="9"/>
  <c r="BF91" i="9"/>
  <c r="BG91" i="9"/>
  <c r="BH91" i="9"/>
  <c r="BI91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BA34" i="9"/>
  <c r="BB34" i="9"/>
  <c r="BC34" i="9"/>
  <c r="BD34" i="9"/>
  <c r="BE34" i="9"/>
  <c r="BF34" i="9"/>
  <c r="BG34" i="9"/>
  <c r="BH34" i="9"/>
  <c r="BI34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BA25" i="9"/>
  <c r="BB25" i="9"/>
  <c r="BC25" i="9"/>
  <c r="BD25" i="9"/>
  <c r="BE25" i="9"/>
  <c r="BF25" i="9"/>
  <c r="BG25" i="9"/>
  <c r="BH25" i="9"/>
  <c r="BI25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BA93" i="9"/>
  <c r="BB93" i="9"/>
  <c r="BC93" i="9"/>
  <c r="BD93" i="9"/>
  <c r="BE93" i="9"/>
  <c r="BF93" i="9"/>
  <c r="BG93" i="9"/>
  <c r="BH93" i="9"/>
  <c r="BI93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BA81" i="9"/>
  <c r="BB81" i="9"/>
  <c r="BC81" i="9"/>
  <c r="BD81" i="9"/>
  <c r="BE81" i="9"/>
  <c r="BF81" i="9"/>
  <c r="BG81" i="9"/>
  <c r="BH81" i="9"/>
  <c r="BI81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BA86" i="9"/>
  <c r="BB86" i="9"/>
  <c r="BC86" i="9"/>
  <c r="BD86" i="9"/>
  <c r="BE86" i="9"/>
  <c r="BF86" i="9"/>
  <c r="BG86" i="9"/>
  <c r="BH86" i="9"/>
  <c r="BI86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BA23" i="9"/>
  <c r="BB23" i="9"/>
  <c r="BC23" i="9"/>
  <c r="BD23" i="9"/>
  <c r="BE23" i="9"/>
  <c r="BF23" i="9"/>
  <c r="BG23" i="9"/>
  <c r="BH23" i="9"/>
  <c r="BI23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BA76" i="9"/>
  <c r="BB76" i="9"/>
  <c r="BC76" i="9"/>
  <c r="BD76" i="9"/>
  <c r="BE76" i="9"/>
  <c r="BF76" i="9"/>
  <c r="BG76" i="9"/>
  <c r="BH76" i="9"/>
  <c r="BI76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BA85" i="9"/>
  <c r="BB85" i="9"/>
  <c r="BC85" i="9"/>
  <c r="BD85" i="9"/>
  <c r="BE85" i="9"/>
  <c r="BF85" i="9"/>
  <c r="BG85" i="9"/>
  <c r="BH85" i="9"/>
  <c r="BI85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BA79" i="9"/>
  <c r="BB79" i="9"/>
  <c r="BC79" i="9"/>
  <c r="BD79" i="9"/>
  <c r="BE79" i="9"/>
  <c r="BF79" i="9"/>
  <c r="BG79" i="9"/>
  <c r="BH79" i="9"/>
  <c r="BI79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BA77" i="9"/>
  <c r="BB77" i="9"/>
  <c r="BC77" i="9"/>
  <c r="BD77" i="9"/>
  <c r="BE77" i="9"/>
  <c r="BF77" i="9"/>
  <c r="BG77" i="9"/>
  <c r="BH77" i="9"/>
  <c r="BI77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BA94" i="9"/>
  <c r="BB94" i="9"/>
  <c r="BC94" i="9"/>
  <c r="BD94" i="9"/>
  <c r="BE94" i="9"/>
  <c r="BF94" i="9"/>
  <c r="BG94" i="9"/>
  <c r="BH94" i="9"/>
  <c r="BI94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BA88" i="9"/>
  <c r="BB88" i="9"/>
  <c r="BC88" i="9"/>
  <c r="BD88" i="9"/>
  <c r="BE88" i="9"/>
  <c r="BF88" i="9"/>
  <c r="BG88" i="9"/>
  <c r="BH88" i="9"/>
  <c r="BI88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BA52" i="9"/>
  <c r="BB52" i="9"/>
  <c r="BC52" i="9"/>
  <c r="BD52" i="9"/>
  <c r="BE52" i="9"/>
  <c r="BF52" i="9"/>
  <c r="BG52" i="9"/>
  <c r="BH52" i="9"/>
  <c r="BI52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BB39" i="9"/>
  <c r="BC39" i="9"/>
  <c r="BD39" i="9"/>
  <c r="BE39" i="9"/>
  <c r="BF39" i="9"/>
  <c r="BG39" i="9"/>
  <c r="BH39" i="9"/>
  <c r="BI3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BA69" i="9"/>
  <c r="BB69" i="9"/>
  <c r="BC69" i="9"/>
  <c r="BD69" i="9"/>
  <c r="BE69" i="9"/>
  <c r="BF69" i="9"/>
  <c r="BG69" i="9"/>
  <c r="BH69" i="9"/>
  <c r="BI69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BA54" i="9"/>
  <c r="BB54" i="9"/>
  <c r="BC54" i="9"/>
  <c r="BD54" i="9"/>
  <c r="BE54" i="9"/>
  <c r="BF54" i="9"/>
  <c r="BG54" i="9"/>
  <c r="BH54" i="9"/>
  <c r="BI54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BA59" i="9"/>
  <c r="BB59" i="9"/>
  <c r="BC59" i="9"/>
  <c r="BD59" i="9"/>
  <c r="BE59" i="9"/>
  <c r="BF59" i="9"/>
  <c r="BG59" i="9"/>
  <c r="BH59" i="9"/>
  <c r="BI59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BA60" i="9"/>
  <c r="BB60" i="9"/>
  <c r="BC60" i="9"/>
  <c r="BD60" i="9"/>
  <c r="BE60" i="9"/>
  <c r="BF60" i="9"/>
  <c r="BG60" i="9"/>
  <c r="BH60" i="9"/>
  <c r="BI60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BA75" i="9"/>
  <c r="BB75" i="9"/>
  <c r="BC75" i="9"/>
  <c r="BD75" i="9"/>
  <c r="BE75" i="9"/>
  <c r="BF75" i="9"/>
  <c r="BG75" i="9"/>
  <c r="BH75" i="9"/>
  <c r="BI75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BA82" i="9"/>
  <c r="BB82" i="9"/>
  <c r="BC82" i="9"/>
  <c r="BD82" i="9"/>
  <c r="BE82" i="9"/>
  <c r="BF82" i="9"/>
  <c r="BG82" i="9"/>
  <c r="BH82" i="9"/>
  <c r="BI8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BA92" i="9"/>
  <c r="BB92" i="9"/>
  <c r="BC92" i="9"/>
  <c r="BD92" i="9"/>
  <c r="BE92" i="9"/>
  <c r="BF92" i="9"/>
  <c r="BG92" i="9"/>
  <c r="BH92" i="9"/>
  <c r="BI92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BA84" i="9"/>
  <c r="BB84" i="9"/>
  <c r="BC84" i="9"/>
  <c r="BD84" i="9"/>
  <c r="BE84" i="9"/>
  <c r="BF84" i="9"/>
  <c r="BG84" i="9"/>
  <c r="BH84" i="9"/>
  <c r="BI84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BA83" i="9"/>
  <c r="BB83" i="9"/>
  <c r="BC83" i="9"/>
  <c r="BD83" i="9"/>
  <c r="BE83" i="9"/>
  <c r="BF83" i="9"/>
  <c r="BG83" i="9"/>
  <c r="BH83" i="9"/>
  <c r="BI83" i="9"/>
  <c r="AP46" i="9"/>
  <c r="BJ46" i="9" s="1"/>
  <c r="AQ46" i="9"/>
  <c r="AR46" i="9"/>
  <c r="AS46" i="9"/>
  <c r="AT46" i="9"/>
  <c r="AU46" i="9"/>
  <c r="AV46" i="9"/>
  <c r="AW46" i="9"/>
  <c r="AX46" i="9"/>
  <c r="AY46" i="9"/>
  <c r="AZ46" i="9"/>
  <c r="BA46" i="9"/>
  <c r="BB46" i="9"/>
  <c r="BC46" i="9"/>
  <c r="BD46" i="9"/>
  <c r="BE46" i="9"/>
  <c r="BF46" i="9"/>
  <c r="BG46" i="9"/>
  <c r="BH46" i="9"/>
  <c r="BI46" i="9"/>
  <c r="BK68" i="9" l="1"/>
  <c r="BL28" i="9"/>
  <c r="BL90" i="9"/>
  <c r="BJ4" i="9"/>
  <c r="BL37" i="9"/>
  <c r="BL13" i="9"/>
  <c r="BL53" i="9"/>
  <c r="BL9" i="9"/>
  <c r="BL7" i="9"/>
  <c r="BL19" i="9"/>
  <c r="BL80" i="9"/>
  <c r="BL11" i="9"/>
  <c r="BL49" i="9"/>
  <c r="BL51" i="9"/>
  <c r="BL10" i="9"/>
  <c r="BL33" i="9"/>
  <c r="BJ27" i="9"/>
  <c r="BL89" i="9"/>
  <c r="BJ62" i="9"/>
  <c r="BO90" i="9"/>
  <c r="BJ50" i="9"/>
  <c r="BJ16" i="9"/>
  <c r="BO57" i="9"/>
  <c r="BJ14" i="9"/>
  <c r="BO8" i="9"/>
  <c r="BM71" i="9"/>
  <c r="BL74" i="9"/>
  <c r="BP47" i="9"/>
  <c r="BO60" i="9"/>
  <c r="BJ54" i="9"/>
  <c r="BK52" i="9"/>
  <c r="BN88" i="9"/>
  <c r="BM77" i="9"/>
  <c r="BL79" i="9"/>
  <c r="BO85" i="9"/>
  <c r="BJ23" i="9"/>
  <c r="BM81" i="9"/>
  <c r="BL93" i="9"/>
  <c r="BO25" i="9"/>
  <c r="BJ91" i="9"/>
  <c r="BM78" i="9"/>
  <c r="BL48" i="9"/>
  <c r="BO4" i="9"/>
  <c r="BN42" i="9"/>
  <c r="BP65" i="9"/>
  <c r="BK30" i="9"/>
  <c r="BN55" i="9"/>
  <c r="BP18" i="9"/>
  <c r="BK57" i="9"/>
  <c r="BN21" i="9"/>
  <c r="BP36" i="9"/>
  <c r="BK8" i="9"/>
  <c r="BN32" i="9"/>
  <c r="BP24" i="9"/>
  <c r="BK15" i="9"/>
  <c r="BP45" i="9"/>
  <c r="BK28" i="9"/>
  <c r="BN56" i="9"/>
  <c r="BP12" i="9"/>
  <c r="BK90" i="9"/>
  <c r="BN74" i="9"/>
  <c r="BM46" i="9"/>
  <c r="BO83" i="9"/>
  <c r="BN84" i="9"/>
  <c r="BP75" i="9"/>
  <c r="BK59" i="9"/>
  <c r="BN54" i="9"/>
  <c r="BP39" i="9"/>
  <c r="BL39" i="9"/>
  <c r="BO52" i="9"/>
  <c r="BP79" i="9"/>
  <c r="BK76" i="9"/>
  <c r="BN23" i="9"/>
  <c r="BP93" i="9"/>
  <c r="BK34" i="9"/>
  <c r="BN91" i="9"/>
  <c r="BP48" i="9"/>
  <c r="BO30" i="9"/>
  <c r="BJ40" i="9"/>
  <c r="BO15" i="9"/>
  <c r="BO28" i="9"/>
  <c r="BP22" i="9"/>
  <c r="BJ38" i="9"/>
  <c r="BL44" i="9"/>
  <c r="BO26" i="9"/>
  <c r="BM63" i="9"/>
  <c r="BL68" i="9"/>
  <c r="BP86" i="9"/>
  <c r="BK93" i="9"/>
  <c r="BN25" i="9"/>
  <c r="BP64" i="9"/>
  <c r="BK48" i="9"/>
  <c r="BN4" i="9"/>
  <c r="BO65" i="9"/>
  <c r="BJ30" i="9"/>
  <c r="BO18" i="9"/>
  <c r="BJ57" i="9"/>
  <c r="BO36" i="9"/>
  <c r="BJ8" i="9"/>
  <c r="BO24" i="9"/>
  <c r="BJ15" i="9"/>
  <c r="BO45" i="9"/>
  <c r="BJ28" i="9"/>
  <c r="BO12" i="9"/>
  <c r="BJ90" i="9"/>
  <c r="BO22" i="9"/>
  <c r="BP43" i="9"/>
  <c r="BN26" i="9"/>
  <c r="BP58" i="9"/>
  <c r="BL94" i="9"/>
  <c r="BO92" i="9"/>
  <c r="BJ75" i="9"/>
  <c r="BO69" i="9"/>
  <c r="BP88" i="9"/>
  <c r="BJ79" i="9"/>
  <c r="BL23" i="9"/>
  <c r="BO86" i="9"/>
  <c r="BJ93" i="9"/>
  <c r="BL91" i="9"/>
  <c r="BO64" i="9"/>
  <c r="BJ48" i="9"/>
  <c r="BP42" i="9"/>
  <c r="BK37" i="9"/>
  <c r="BN65" i="9"/>
  <c r="BP55" i="9"/>
  <c r="BK13" i="9"/>
  <c r="BN18" i="9"/>
  <c r="BP21" i="9"/>
  <c r="BK53" i="9"/>
  <c r="BN36" i="9"/>
  <c r="BP32" i="9"/>
  <c r="BK9" i="9"/>
  <c r="BN24" i="9"/>
  <c r="BK19" i="9"/>
  <c r="BN12" i="9"/>
  <c r="BP74" i="9"/>
  <c r="BK80" i="9"/>
  <c r="BN22" i="9"/>
  <c r="BL38" i="9"/>
  <c r="BO43" i="9"/>
  <c r="BJ44" i="9"/>
  <c r="BO58" i="9"/>
  <c r="BJ68" i="9"/>
  <c r="BL84" i="9"/>
  <c r="BM83" i="9"/>
  <c r="BK92" i="9"/>
  <c r="BN82" i="9"/>
  <c r="BP59" i="9"/>
  <c r="BK69" i="9"/>
  <c r="BM52" i="9"/>
  <c r="BL88" i="9"/>
  <c r="BO94" i="9"/>
  <c r="BN77" i="9"/>
  <c r="BP76" i="9"/>
  <c r="BK86" i="9"/>
  <c r="BN81" i="9"/>
  <c r="BP34" i="9"/>
  <c r="BK64" i="9"/>
  <c r="BN78" i="9"/>
  <c r="BL42" i="9"/>
  <c r="BO50" i="9"/>
  <c r="BJ65" i="9"/>
  <c r="BM30" i="9"/>
  <c r="BL55" i="9"/>
  <c r="BO16" i="9"/>
  <c r="BJ18" i="9"/>
  <c r="BM57" i="9"/>
  <c r="BL21" i="9"/>
  <c r="BO14" i="9"/>
  <c r="BJ36" i="9"/>
  <c r="BM8" i="9"/>
  <c r="BL32" i="9"/>
  <c r="BO40" i="9"/>
  <c r="BJ24" i="9"/>
  <c r="BM15" i="9"/>
  <c r="BJ45" i="9"/>
  <c r="BM28" i="9"/>
  <c r="BL56" i="9"/>
  <c r="BO27" i="9"/>
  <c r="BJ12" i="9"/>
  <c r="BM90" i="9"/>
  <c r="BO62" i="9"/>
  <c r="BJ22" i="9"/>
  <c r="BK43" i="9"/>
  <c r="BN71" i="9"/>
  <c r="BP70" i="9"/>
  <c r="BK58" i="9"/>
  <c r="BN63" i="9"/>
  <c r="BN46" i="9"/>
  <c r="BL60" i="9"/>
  <c r="BJ94" i="9"/>
  <c r="BL85" i="9"/>
  <c r="BL25" i="9"/>
  <c r="BL4" i="9"/>
  <c r="BK47" i="9"/>
  <c r="BN38" i="9"/>
  <c r="BP44" i="9"/>
  <c r="BJ84" i="9"/>
  <c r="BM82" i="9"/>
  <c r="BP46" i="9"/>
  <c r="BK83" i="9"/>
  <c r="BL75" i="9"/>
  <c r="BJ83" i="9"/>
  <c r="BL82" i="9"/>
  <c r="BL77" i="9"/>
  <c r="BL81" i="9"/>
  <c r="BL78" i="9"/>
  <c r="BL71" i="9"/>
  <c r="BL63" i="9"/>
  <c r="BL46" i="9"/>
  <c r="BP82" i="9"/>
  <c r="BK60" i="9"/>
  <c r="BN59" i="9"/>
  <c r="BJ88" i="9"/>
  <c r="BP77" i="9"/>
  <c r="BK85" i="9"/>
  <c r="BN76" i="9"/>
  <c r="BP81" i="9"/>
  <c r="BK25" i="9"/>
  <c r="BN34" i="9"/>
  <c r="BP78" i="9"/>
  <c r="BK4" i="9"/>
  <c r="BJ42" i="9"/>
  <c r="BM37" i="9"/>
  <c r="BL65" i="9"/>
  <c r="BO11" i="9"/>
  <c r="BJ55" i="9"/>
  <c r="BM13" i="9"/>
  <c r="BL18" i="9"/>
  <c r="BO49" i="9"/>
  <c r="BJ21" i="9"/>
  <c r="BM53" i="9"/>
  <c r="BL36" i="9"/>
  <c r="BO51" i="9"/>
  <c r="BJ32" i="9"/>
  <c r="BM9" i="9"/>
  <c r="BL24" i="9"/>
  <c r="BO10" i="9"/>
  <c r="BM7" i="9"/>
  <c r="BL45" i="9"/>
  <c r="BO33" i="9"/>
  <c r="BJ56" i="9"/>
  <c r="BM19" i="9"/>
  <c r="BL12" i="9"/>
  <c r="BO89" i="9"/>
  <c r="BJ74" i="9"/>
  <c r="BM80" i="9"/>
  <c r="BL22" i="9"/>
  <c r="BN47" i="9"/>
  <c r="BP71" i="9"/>
  <c r="BK26" i="9"/>
  <c r="BN70" i="9"/>
  <c r="BP63" i="9"/>
  <c r="BN52" i="9"/>
  <c r="BO79" i="9"/>
  <c r="BJ76" i="9"/>
  <c r="BM86" i="9"/>
  <c r="BO93" i="9"/>
  <c r="BJ34" i="9"/>
  <c r="BM64" i="9"/>
  <c r="BO48" i="9"/>
  <c r="BP37" i="9"/>
  <c r="BK11" i="9"/>
  <c r="BN30" i="9"/>
  <c r="BP13" i="9"/>
  <c r="BK49" i="9"/>
  <c r="BN57" i="9"/>
  <c r="BP53" i="9"/>
  <c r="BK51" i="9"/>
  <c r="BN8" i="9"/>
  <c r="BP9" i="9"/>
  <c r="BK10" i="9"/>
  <c r="BN15" i="9"/>
  <c r="BP7" i="9"/>
  <c r="BK33" i="9"/>
  <c r="BN28" i="9"/>
  <c r="BP19" i="9"/>
  <c r="BK89" i="9"/>
  <c r="BN90" i="9"/>
  <c r="BP80" i="9"/>
  <c r="BJ47" i="9"/>
  <c r="BM43" i="9"/>
  <c r="BO44" i="9"/>
  <c r="BJ70" i="9"/>
  <c r="BM58" i="9"/>
  <c r="BO68" i="9"/>
  <c r="BK75" i="9"/>
  <c r="BK79" i="9"/>
  <c r="BN85" i="9"/>
  <c r="BM50" i="9"/>
  <c r="BM16" i="9"/>
  <c r="BM14" i="9"/>
  <c r="BM40" i="9"/>
  <c r="BM27" i="9"/>
  <c r="BM62" i="9"/>
  <c r="BK44" i="9"/>
  <c r="BM92" i="9"/>
  <c r="BO75" i="9"/>
  <c r="BM69" i="9"/>
  <c r="BO39" i="9"/>
  <c r="BO46" i="9"/>
  <c r="BJ52" i="9"/>
  <c r="BK46" i="9"/>
  <c r="BM84" i="9"/>
  <c r="BL92" i="9"/>
  <c r="BO82" i="9"/>
  <c r="BJ60" i="9"/>
  <c r="BM54" i="9"/>
  <c r="BL69" i="9"/>
  <c r="BN39" i="9"/>
  <c r="BP94" i="9"/>
  <c r="BO77" i="9"/>
  <c r="BJ85" i="9"/>
  <c r="BM23" i="9"/>
  <c r="BL86" i="9"/>
  <c r="BO81" i="9"/>
  <c r="BJ25" i="9"/>
  <c r="BM91" i="9"/>
  <c r="BL64" i="9"/>
  <c r="BO78" i="9"/>
  <c r="BP50" i="9"/>
  <c r="BK65" i="9"/>
  <c r="BN11" i="9"/>
  <c r="BP16" i="9"/>
  <c r="BK18" i="9"/>
  <c r="BN49" i="9"/>
  <c r="BP14" i="9"/>
  <c r="BK36" i="9"/>
  <c r="BN51" i="9"/>
  <c r="BP40" i="9"/>
  <c r="BK24" i="9"/>
  <c r="BN10" i="9"/>
  <c r="BK45" i="9"/>
  <c r="BN33" i="9"/>
  <c r="BP27" i="9"/>
  <c r="BK12" i="9"/>
  <c r="BN89" i="9"/>
  <c r="BP62" i="9"/>
  <c r="BK22" i="9"/>
  <c r="BM38" i="9"/>
  <c r="BL43" i="9"/>
  <c r="BO71" i="9"/>
  <c r="BJ26" i="9"/>
  <c r="BL58" i="9"/>
  <c r="BO63" i="9"/>
  <c r="BJ59" i="9"/>
  <c r="BK39" i="9"/>
  <c r="BN60" i="9"/>
  <c r="BM94" i="9"/>
  <c r="BP84" i="9"/>
  <c r="BK82" i="9"/>
  <c r="BN75" i="9"/>
  <c r="BP54" i="9"/>
  <c r="BJ39" i="9"/>
  <c r="BM88" i="9"/>
  <c r="BK77" i="9"/>
  <c r="BN79" i="9"/>
  <c r="BP23" i="9"/>
  <c r="BK81" i="9"/>
  <c r="BN93" i="9"/>
  <c r="BP91" i="9"/>
  <c r="BK78" i="9"/>
  <c r="BN48" i="9"/>
  <c r="BM42" i="9"/>
  <c r="BL50" i="9"/>
  <c r="BO37" i="9"/>
  <c r="BJ11" i="9"/>
  <c r="BM55" i="9"/>
  <c r="BL16" i="9"/>
  <c r="BO13" i="9"/>
  <c r="BJ49" i="9"/>
  <c r="BM21" i="9"/>
  <c r="BL14" i="9"/>
  <c r="BO53" i="9"/>
  <c r="BJ51" i="9"/>
  <c r="BM32" i="9"/>
  <c r="BL40" i="9"/>
  <c r="BO9" i="9"/>
  <c r="BJ10" i="9"/>
  <c r="BO7" i="9"/>
  <c r="BJ33" i="9"/>
  <c r="BM56" i="9"/>
  <c r="BL27" i="9"/>
  <c r="BO19" i="9"/>
  <c r="BJ89" i="9"/>
  <c r="BM74" i="9"/>
  <c r="BL62" i="9"/>
  <c r="BO80" i="9"/>
  <c r="BP38" i="9"/>
  <c r="BK71" i="9"/>
  <c r="BN44" i="9"/>
  <c r="BK63" i="9"/>
  <c r="BN68" i="9"/>
  <c r="BP92" i="9"/>
  <c r="BP69" i="9"/>
  <c r="BM59" i="9"/>
  <c r="BL54" i="9"/>
  <c r="BM76" i="9"/>
  <c r="BM34" i="9"/>
  <c r="BK7" i="9"/>
  <c r="BN45" i="9"/>
  <c r="BP56" i="9"/>
  <c r="BM47" i="9"/>
  <c r="BM70" i="9"/>
  <c r="BN83" i="9"/>
  <c r="BM60" i="9"/>
  <c r="BL59" i="9"/>
  <c r="BO54" i="9"/>
  <c r="BP52" i="9"/>
  <c r="BK94" i="9"/>
  <c r="BJ77" i="9"/>
  <c r="BM85" i="9"/>
  <c r="BL76" i="9"/>
  <c r="BO23" i="9"/>
  <c r="BJ81" i="9"/>
  <c r="BM25" i="9"/>
  <c r="BL34" i="9"/>
  <c r="BO91" i="9"/>
  <c r="BJ78" i="9"/>
  <c r="BM4" i="9"/>
  <c r="BK50" i="9"/>
  <c r="BN37" i="9"/>
  <c r="BP30" i="9"/>
  <c r="BK16" i="9"/>
  <c r="BN13" i="9"/>
  <c r="BP57" i="9"/>
  <c r="BK14" i="9"/>
  <c r="BN53" i="9"/>
  <c r="BP8" i="9"/>
  <c r="BK40" i="9"/>
  <c r="BN9" i="9"/>
  <c r="BP15" i="9"/>
  <c r="BN7" i="9"/>
  <c r="BP28" i="9"/>
  <c r="BK27" i="9"/>
  <c r="BN19" i="9"/>
  <c r="BP90" i="9"/>
  <c r="BK62" i="9"/>
  <c r="BN80" i="9"/>
  <c r="BL47" i="9"/>
  <c r="BO38" i="9"/>
  <c r="BJ71" i="9"/>
  <c r="BM26" i="9"/>
  <c r="BL70" i="9"/>
  <c r="BJ63" i="9"/>
  <c r="BP83" i="9"/>
  <c r="BO84" i="9"/>
  <c r="BJ82" i="9"/>
  <c r="BL83" i="9"/>
  <c r="BK84" i="9"/>
  <c r="BN92" i="9"/>
  <c r="BP60" i="9"/>
  <c r="BK54" i="9"/>
  <c r="BN69" i="9"/>
  <c r="BM39" i="9"/>
  <c r="BL52" i="9"/>
  <c r="BO88" i="9"/>
  <c r="BP85" i="9"/>
  <c r="BK23" i="9"/>
  <c r="BN86" i="9"/>
  <c r="BP25" i="9"/>
  <c r="BK91" i="9"/>
  <c r="BN64" i="9"/>
  <c r="BP4" i="9"/>
  <c r="BO42" i="9"/>
  <c r="BJ37" i="9"/>
  <c r="BM11" i="9"/>
  <c r="BL30" i="9"/>
  <c r="BO55" i="9"/>
  <c r="BJ13" i="9"/>
  <c r="BM49" i="9"/>
  <c r="BL57" i="9"/>
  <c r="BO21" i="9"/>
  <c r="BJ53" i="9"/>
  <c r="BM51" i="9"/>
  <c r="BL8" i="9"/>
  <c r="BO32" i="9"/>
  <c r="BJ9" i="9"/>
  <c r="BM10" i="9"/>
  <c r="BL15" i="9"/>
  <c r="BJ7" i="9"/>
  <c r="BM33" i="9"/>
  <c r="BO56" i="9"/>
  <c r="BJ19" i="9"/>
  <c r="BM89" i="9"/>
  <c r="BO74" i="9"/>
  <c r="BJ80" i="9"/>
  <c r="BK38" i="9"/>
  <c r="BN43" i="9"/>
  <c r="BP26" i="9"/>
  <c r="BN58" i="9"/>
  <c r="BJ92" i="9"/>
  <c r="BM75" i="9"/>
  <c r="BO59" i="9"/>
  <c r="BJ69" i="9"/>
  <c r="BK88" i="9"/>
  <c r="BN94" i="9"/>
  <c r="BM79" i="9"/>
  <c r="BO76" i="9"/>
  <c r="BJ86" i="9"/>
  <c r="BM93" i="9"/>
  <c r="BO34" i="9"/>
  <c r="BJ64" i="9"/>
  <c r="BM48" i="9"/>
  <c r="BK42" i="9"/>
  <c r="BN50" i="9"/>
  <c r="BP11" i="9"/>
  <c r="BK55" i="9"/>
  <c r="BN16" i="9"/>
  <c r="BP49" i="9"/>
  <c r="BK21" i="9"/>
  <c r="BN14" i="9"/>
  <c r="BP51" i="9"/>
  <c r="BK32" i="9"/>
  <c r="BN40" i="9"/>
  <c r="BP10" i="9"/>
  <c r="BP33" i="9"/>
  <c r="BK56" i="9"/>
  <c r="BN27" i="9"/>
  <c r="BP89" i="9"/>
  <c r="BK74" i="9"/>
  <c r="BN62" i="9"/>
  <c r="BO47" i="9"/>
  <c r="BJ43" i="9"/>
  <c r="BM44" i="9"/>
  <c r="BL26" i="9"/>
  <c r="BO70" i="9"/>
  <c r="BJ58" i="9"/>
  <c r="BM68" i="9"/>
  <c r="BM65" i="9"/>
  <c r="BM18" i="9"/>
  <c r="BM36" i="9"/>
  <c r="BM24" i="9"/>
  <c r="BM45" i="9"/>
  <c r="BM12" i="9"/>
  <c r="BM22" i="9"/>
  <c r="BK70" i="9"/>
  <c r="BP68" i="9"/>
  <c r="BQ6" i="9"/>
  <c r="BQ87" i="9"/>
  <c r="BP106" i="9"/>
  <c r="BK110" i="9"/>
  <c r="BN109" i="9"/>
  <c r="BK107" i="9"/>
  <c r="BL109" i="9"/>
  <c r="BO106" i="9"/>
  <c r="BP110" i="9"/>
  <c r="BP107" i="9"/>
  <c r="BK106" i="9"/>
  <c r="BJ110" i="9"/>
  <c r="BJ107" i="9"/>
  <c r="BP109" i="9"/>
  <c r="BM110" i="9"/>
  <c r="BM107" i="9"/>
  <c r="BL110" i="9"/>
  <c r="BO109" i="9"/>
  <c r="BL107" i="9"/>
  <c r="BK109" i="9"/>
  <c r="BN106" i="9"/>
  <c r="BO110" i="9"/>
  <c r="BO107" i="9"/>
  <c r="BJ106" i="9"/>
  <c r="BJ109" i="9"/>
  <c r="BN110" i="9"/>
  <c r="BN107" i="9"/>
  <c r="BM106" i="9"/>
  <c r="BM109" i="9"/>
  <c r="BL106" i="9"/>
  <c r="C9" i="10"/>
  <c r="H84" i="9"/>
  <c r="H92" i="9"/>
  <c r="H82" i="9"/>
  <c r="H75" i="9"/>
  <c r="H60" i="9"/>
  <c r="H59" i="9"/>
  <c r="H54" i="9"/>
  <c r="H52" i="9"/>
  <c r="H88" i="9"/>
  <c r="H94" i="9"/>
  <c r="H77" i="9"/>
  <c r="H79" i="9"/>
  <c r="H85" i="9"/>
  <c r="H76" i="9"/>
  <c r="G23" i="9"/>
  <c r="H23" i="9" s="1"/>
  <c r="H86" i="9"/>
  <c r="H81" i="9"/>
  <c r="H93" i="9"/>
  <c r="H25" i="9"/>
  <c r="H34" i="9"/>
  <c r="H91" i="9"/>
  <c r="H64" i="9"/>
  <c r="H78" i="9"/>
  <c r="H48" i="9"/>
  <c r="H4" i="9"/>
  <c r="H42" i="9"/>
  <c r="H50" i="9"/>
  <c r="H37" i="9"/>
  <c r="H65" i="9"/>
  <c r="H11" i="9"/>
  <c r="H30" i="9"/>
  <c r="H55" i="9"/>
  <c r="H16" i="9"/>
  <c r="H13" i="9"/>
  <c r="H18" i="9"/>
  <c r="H49" i="9"/>
  <c r="H57" i="9"/>
  <c r="H21" i="9"/>
  <c r="H14" i="9"/>
  <c r="H53" i="9"/>
  <c r="H36" i="9"/>
  <c r="H51" i="9"/>
  <c r="H40" i="9"/>
  <c r="H8" i="9"/>
  <c r="H32" i="9"/>
  <c r="H9" i="9"/>
  <c r="H10" i="9"/>
  <c r="H15" i="9"/>
  <c r="H110" i="9"/>
  <c r="H109" i="9"/>
  <c r="H7" i="9"/>
  <c r="K62" i="3"/>
  <c r="G122" i="8" s="1"/>
  <c r="K61" i="3"/>
  <c r="G121" i="8" s="1"/>
  <c r="K56" i="3"/>
  <c r="G115" i="8" s="1"/>
  <c r="K48" i="3"/>
  <c r="K38" i="3"/>
  <c r="K36" i="3"/>
  <c r="K33" i="3"/>
  <c r="K47" i="3"/>
  <c r="K46" i="3"/>
  <c r="K32" i="3"/>
  <c r="D50" i="4"/>
  <c r="K50" i="4"/>
  <c r="D49" i="4"/>
  <c r="K49" i="4"/>
  <c r="D48" i="4"/>
  <c r="K48" i="4"/>
  <c r="G104" i="8" l="1"/>
  <c r="G105" i="8"/>
  <c r="G103" i="8"/>
  <c r="G93" i="8"/>
  <c r="G95" i="8"/>
  <c r="G90" i="8"/>
  <c r="G89" i="8"/>
  <c r="BQ54" i="9"/>
  <c r="BQ46" i="9"/>
  <c r="BQ75" i="9"/>
  <c r="BQ92" i="9"/>
  <c r="BQ44" i="9"/>
  <c r="BQ51" i="9"/>
  <c r="BQ27" i="9"/>
  <c r="BQ53" i="9"/>
  <c r="BQ26" i="9"/>
  <c r="BQ93" i="9"/>
  <c r="BQ43" i="9"/>
  <c r="BQ13" i="9"/>
  <c r="BQ69" i="9"/>
  <c r="BQ83" i="9"/>
  <c r="BQ107" i="9"/>
  <c r="BQ62" i="9"/>
  <c r="BQ7" i="9"/>
  <c r="BQ49" i="9"/>
  <c r="BQ11" i="9"/>
  <c r="BQ89" i="9"/>
  <c r="BQ32" i="9"/>
  <c r="BQ9" i="9"/>
  <c r="BQ84" i="9"/>
  <c r="BQ14" i="9"/>
  <c r="BQ34" i="9"/>
  <c r="BQ68" i="9"/>
  <c r="BQ21" i="9"/>
  <c r="BQ71" i="9"/>
  <c r="BQ63" i="9"/>
  <c r="BQ58" i="9"/>
  <c r="BQ82" i="9"/>
  <c r="BQ52" i="9"/>
  <c r="BQ110" i="9"/>
  <c r="BQ16" i="9"/>
  <c r="BQ76" i="9"/>
  <c r="BQ94" i="9"/>
  <c r="BQ64" i="9"/>
  <c r="BQ15" i="9"/>
  <c r="BQ85" i="9"/>
  <c r="BQ106" i="9"/>
  <c r="BQ33" i="9"/>
  <c r="BQ30" i="9"/>
  <c r="BQ37" i="9"/>
  <c r="BQ24" i="9"/>
  <c r="BQ77" i="9"/>
  <c r="BQ78" i="9"/>
  <c r="BQ12" i="9"/>
  <c r="BQ8" i="9"/>
  <c r="BQ4" i="9"/>
  <c r="BQ39" i="9"/>
  <c r="BQ19" i="9"/>
  <c r="BQ79" i="9"/>
  <c r="BQ38" i="9"/>
  <c r="BQ65" i="9"/>
  <c r="BQ42" i="9"/>
  <c r="BQ47" i="9"/>
  <c r="BQ36" i="9"/>
  <c r="BQ90" i="9"/>
  <c r="BQ80" i="9"/>
  <c r="BQ109" i="9"/>
  <c r="BQ45" i="9"/>
  <c r="BQ23" i="9"/>
  <c r="BQ55" i="9"/>
  <c r="BQ56" i="9"/>
  <c r="BQ22" i="9"/>
  <c r="BQ70" i="9"/>
  <c r="BQ59" i="9"/>
  <c r="BQ86" i="9"/>
  <c r="BQ28" i="9"/>
  <c r="BQ81" i="9"/>
  <c r="BQ25" i="9"/>
  <c r="BQ74" i="9"/>
  <c r="BQ10" i="9"/>
  <c r="BQ48" i="9"/>
  <c r="BQ57" i="9"/>
  <c r="BQ60" i="9"/>
  <c r="BQ18" i="9"/>
  <c r="BQ91" i="9"/>
  <c r="BQ40" i="9"/>
  <c r="BQ50" i="9"/>
  <c r="BQ88" i="9"/>
  <c r="K45" i="3"/>
  <c r="K44" i="3"/>
  <c r="K43" i="3"/>
  <c r="K64" i="3"/>
  <c r="G124" i="8" s="1"/>
  <c r="K42" i="3"/>
  <c r="K63" i="3"/>
  <c r="G123" i="8" s="1"/>
  <c r="K45" i="4"/>
  <c r="I42" i="12" l="1"/>
  <c r="I41" i="12"/>
  <c r="I71" i="12"/>
  <c r="I46" i="12"/>
  <c r="I63" i="12"/>
  <c r="I95" i="12"/>
  <c r="I31" i="12"/>
  <c r="I14" i="12"/>
  <c r="I21" i="12"/>
  <c r="I59" i="12"/>
  <c r="I16" i="12"/>
  <c r="I90" i="12"/>
  <c r="I30" i="12"/>
  <c r="I88" i="12"/>
  <c r="I104" i="12"/>
  <c r="I45" i="12"/>
  <c r="I15" i="12"/>
  <c r="I81" i="12"/>
  <c r="I50" i="12"/>
  <c r="I80" i="12"/>
  <c r="I76" i="12"/>
  <c r="I54" i="12"/>
  <c r="I84" i="12"/>
  <c r="I28" i="12"/>
  <c r="I89" i="12"/>
  <c r="I13" i="12"/>
  <c r="I94" i="12"/>
  <c r="I36" i="12"/>
  <c r="I82" i="12"/>
  <c r="I87" i="12"/>
  <c r="I56" i="12"/>
  <c r="I69" i="12"/>
  <c r="I92" i="12"/>
  <c r="I39" i="12"/>
  <c r="I60" i="12"/>
  <c r="I65" i="12"/>
  <c r="I19" i="12"/>
  <c r="I17" i="12"/>
  <c r="I33" i="12"/>
  <c r="I27" i="12"/>
  <c r="I66" i="12"/>
  <c r="I86" i="12"/>
  <c r="I75" i="12"/>
  <c r="I57" i="12"/>
  <c r="I32" i="12"/>
  <c r="I37" i="12"/>
  <c r="I74" i="12"/>
  <c r="I55" i="12"/>
  <c r="I62" i="12"/>
  <c r="I12" i="12"/>
  <c r="I49" i="12"/>
  <c r="I70" i="12"/>
  <c r="I44" i="12"/>
  <c r="I61" i="12"/>
  <c r="I101" i="12"/>
  <c r="I29" i="12"/>
  <c r="I38" i="12"/>
  <c r="I34" i="12"/>
  <c r="I105" i="12"/>
  <c r="I47" i="12"/>
  <c r="I67" i="12"/>
  <c r="I91" i="12"/>
  <c r="I48" i="12"/>
  <c r="I78" i="12"/>
  <c r="I93" i="12"/>
  <c r="I85" i="12"/>
  <c r="I83" i="12"/>
  <c r="I40" i="12"/>
  <c r="I77" i="12"/>
  <c r="I72" i="12"/>
  <c r="I73" i="12"/>
  <c r="BR35" i="9"/>
  <c r="BR61" i="9"/>
  <c r="I11" i="12"/>
  <c r="BR66" i="9"/>
  <c r="I79" i="12"/>
  <c r="I102" i="12"/>
  <c r="I100" i="12"/>
  <c r="BR111" i="9"/>
  <c r="I103" i="12"/>
  <c r="BR83" i="9"/>
  <c r="I22" i="12"/>
  <c r="BR17" i="9"/>
  <c r="BR73" i="9"/>
  <c r="BR29" i="9"/>
  <c r="BR72" i="9"/>
  <c r="BR67" i="9"/>
  <c r="BR20" i="9"/>
  <c r="BR41" i="9"/>
  <c r="G102" i="8"/>
  <c r="G100" i="8"/>
  <c r="G99" i="8"/>
  <c r="G101" i="8"/>
  <c r="BR109" i="9"/>
  <c r="BR82" i="9"/>
  <c r="BR107" i="9"/>
  <c r="BR110" i="9"/>
  <c r="BR108" i="9"/>
  <c r="BR31" i="9"/>
  <c r="BR5" i="9"/>
  <c r="BR87" i="9"/>
  <c r="BR6" i="9"/>
  <c r="J41" i="3"/>
  <c r="K41" i="3" s="1"/>
  <c r="G98" i="8" s="1"/>
  <c r="K25" i="3"/>
  <c r="K39" i="3"/>
  <c r="K29" i="3"/>
  <c r="K5" i="3"/>
  <c r="K11" i="3"/>
  <c r="K37" i="3"/>
  <c r="K35" i="3"/>
  <c r="K34" i="3"/>
  <c r="K2" i="3"/>
  <c r="K31" i="3"/>
  <c r="G88" i="8" s="1"/>
  <c r="D54" i="3"/>
  <c r="D3" i="3"/>
  <c r="D4" i="3"/>
  <c r="D7" i="3"/>
  <c r="D8" i="3"/>
  <c r="D10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6" i="3"/>
  <c r="D27" i="3"/>
  <c r="D28" i="3"/>
  <c r="D31" i="3"/>
  <c r="D2" i="3"/>
  <c r="D34" i="3"/>
  <c r="D35" i="3"/>
  <c r="D37" i="3"/>
  <c r="D11" i="3"/>
  <c r="D39" i="3"/>
  <c r="D5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2" i="1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2" i="6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31" i="4"/>
  <c r="W32" i="4"/>
  <c r="O8" i="1"/>
  <c r="O5" i="1"/>
  <c r="M32" i="6"/>
  <c r="M38" i="1" s="1"/>
  <c r="O37" i="1" s="1"/>
  <c r="O38" i="1" s="1"/>
  <c r="G60" i="8" l="1"/>
  <c r="G94" i="8"/>
  <c r="G66" i="8"/>
  <c r="G86" i="8"/>
  <c r="G96" i="8"/>
  <c r="G80" i="8"/>
  <c r="G57" i="8"/>
  <c r="G91" i="8"/>
  <c r="G92" i="8"/>
  <c r="BR94" i="9"/>
  <c r="BR7" i="9"/>
  <c r="BR79" i="9"/>
  <c r="BR54" i="9"/>
  <c r="BR106" i="9"/>
  <c r="BR44" i="9"/>
  <c r="BR91" i="9"/>
  <c r="BR88" i="9"/>
  <c r="BR18" i="9"/>
  <c r="BR93" i="9"/>
  <c r="BR25" i="9"/>
  <c r="BR37" i="9"/>
  <c r="BR77" i="9"/>
  <c r="BR55" i="9"/>
  <c r="BR16" i="9"/>
  <c r="BR81" i="9"/>
  <c r="BR58" i="9"/>
  <c r="BR74" i="9"/>
  <c r="BR33" i="9"/>
  <c r="BR92" i="9"/>
  <c r="BR42" i="9"/>
  <c r="BR90" i="9"/>
  <c r="BR9" i="9"/>
  <c r="BR8" i="9"/>
  <c r="BR78" i="9"/>
  <c r="BR76" i="9"/>
  <c r="BR15" i="9"/>
  <c r="BR28" i="9"/>
  <c r="BR56" i="9"/>
  <c r="BR65" i="9"/>
  <c r="BR86" i="9"/>
  <c r="BR19" i="9"/>
  <c r="BR52" i="9"/>
  <c r="BR50" i="9"/>
  <c r="BR32" i="9"/>
  <c r="BR53" i="9"/>
  <c r="BR64" i="9"/>
  <c r="BR39" i="9"/>
  <c r="BR51" i="9"/>
  <c r="BR21" i="9"/>
  <c r="BR68" i="9"/>
  <c r="BR24" i="9"/>
  <c r="BR34" i="9"/>
  <c r="BR89" i="9"/>
  <c r="BR11" i="9"/>
  <c r="BR14" i="9"/>
  <c r="BR12" i="9"/>
  <c r="BR59" i="9"/>
  <c r="BR27" i="9"/>
  <c r="BR48" i="9"/>
  <c r="BR85" i="9"/>
  <c r="BR23" i="9"/>
  <c r="BR13" i="9"/>
  <c r="BR49" i="9"/>
  <c r="BR45" i="9"/>
  <c r="BR46" i="9"/>
  <c r="BR75" i="9"/>
  <c r="BR57" i="9"/>
  <c r="BR80" i="9"/>
  <c r="BR38" i="9"/>
  <c r="BR60" i="9"/>
  <c r="BR36" i="9"/>
  <c r="BR63" i="9"/>
  <c r="BR26" i="9"/>
  <c r="BR40" i="9"/>
  <c r="BR43" i="9"/>
  <c r="BR70" i="9"/>
  <c r="BR10" i="9"/>
  <c r="BR84" i="9"/>
  <c r="BR4" i="9"/>
  <c r="BR62" i="9"/>
  <c r="BR71" i="9"/>
  <c r="BR30" i="9"/>
  <c r="BR22" i="9"/>
  <c r="BR47" i="9"/>
  <c r="BR69" i="9"/>
  <c r="M35" i="1"/>
  <c r="O3" i="1"/>
  <c r="G65" i="5"/>
  <c r="G26" i="5"/>
  <c r="G44" i="5"/>
  <c r="G43" i="5"/>
  <c r="G73" i="5"/>
  <c r="G36" i="5"/>
  <c r="G68" i="5"/>
  <c r="G59" i="5"/>
  <c r="G75" i="5"/>
  <c r="G57" i="5"/>
  <c r="G67" i="5"/>
  <c r="G81" i="5"/>
  <c r="G78" i="5"/>
  <c r="G17" i="5"/>
  <c r="G45" i="5"/>
  <c r="G33" i="5"/>
  <c r="G23" i="5"/>
  <c r="G31" i="5"/>
  <c r="G16" i="5"/>
  <c r="G15" i="5"/>
  <c r="G83" i="5"/>
  <c r="G71" i="5"/>
  <c r="G48" i="5"/>
  <c r="G38" i="5"/>
  <c r="G9" i="5"/>
  <c r="G84" i="5"/>
  <c r="G69" i="5"/>
  <c r="G50" i="5"/>
  <c r="G41" i="5"/>
  <c r="G35" i="5"/>
  <c r="G18" i="5"/>
  <c r="G3" i="5"/>
  <c r="G4" i="5"/>
  <c r="G82" i="5"/>
  <c r="G85" i="5"/>
  <c r="G21" i="5"/>
  <c r="G58" i="5"/>
  <c r="G29" i="5"/>
  <c r="G64" i="5"/>
  <c r="G74" i="5"/>
  <c r="G12" i="5"/>
  <c r="G19" i="5"/>
  <c r="G13" i="5"/>
  <c r="G24" i="5"/>
  <c r="G20" i="5"/>
  <c r="G37" i="5"/>
  <c r="G70" i="5"/>
  <c r="G22" i="5"/>
  <c r="G14" i="5"/>
  <c r="G5" i="5"/>
  <c r="G80" i="5"/>
  <c r="G39" i="5"/>
  <c r="G49" i="5"/>
  <c r="G56" i="5"/>
  <c r="G10" i="5"/>
  <c r="G8" i="5"/>
  <c r="G6" i="5"/>
  <c r="G60" i="5"/>
  <c r="G51" i="5"/>
  <c r="G53" i="5"/>
  <c r="G61" i="5"/>
  <c r="G62" i="5"/>
  <c r="G28" i="5"/>
  <c r="G86" i="5"/>
  <c r="G66" i="5"/>
  <c r="G55" i="5"/>
  <c r="G34" i="5"/>
  <c r="G77" i="5"/>
  <c r="G52" i="5"/>
  <c r="G30" i="5"/>
  <c r="G27" i="5"/>
  <c r="G47" i="5"/>
  <c r="G87" i="5"/>
  <c r="G72" i="5"/>
  <c r="G63" i="5"/>
  <c r="G46" i="5"/>
  <c r="G76" i="5"/>
  <c r="G40" i="5"/>
  <c r="G54" i="5"/>
  <c r="G79" i="5"/>
  <c r="G42" i="5"/>
  <c r="G7" i="5"/>
  <c r="G88" i="5"/>
  <c r="G32" i="5"/>
  <c r="G11" i="5"/>
  <c r="G25" i="5"/>
  <c r="K59" i="3" l="1"/>
  <c r="G119" i="8" s="1"/>
  <c r="K60" i="3"/>
  <c r="G120" i="8" s="1"/>
  <c r="K66" i="3"/>
  <c r="G126" i="8" s="1"/>
  <c r="K3" i="3"/>
  <c r="K4" i="3"/>
  <c r="K7" i="3"/>
  <c r="K8" i="3"/>
  <c r="K10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6" i="3"/>
  <c r="K27" i="3"/>
  <c r="K28" i="3"/>
  <c r="G70" i="8" l="1"/>
  <c r="G73" i="8"/>
  <c r="G74" i="8"/>
  <c r="G71" i="8"/>
  <c r="G85" i="8"/>
  <c r="G81" i="8"/>
  <c r="G67" i="8"/>
  <c r="G68" i="8"/>
  <c r="G79" i="8"/>
  <c r="G78" i="8"/>
  <c r="N8" i="3"/>
  <c r="G63" i="8"/>
  <c r="N9" i="3"/>
  <c r="G82" i="8"/>
  <c r="G65" i="8"/>
  <c r="G77" i="8"/>
  <c r="G76" i="8"/>
  <c r="G62" i="8"/>
  <c r="G58" i="8"/>
  <c r="G72" i="8"/>
  <c r="G69" i="8"/>
  <c r="G75" i="8"/>
  <c r="G59" i="8"/>
  <c r="N4" i="3"/>
  <c r="N5" i="3"/>
  <c r="N6" i="3"/>
  <c r="L19" i="12" l="1"/>
  <c r="N19" i="12" s="1"/>
  <c r="H63" i="8"/>
  <c r="L28" i="12"/>
  <c r="N28" i="12" s="1"/>
  <c r="H59" i="8"/>
  <c r="L26" i="12"/>
  <c r="N26" i="12" s="1"/>
  <c r="H61" i="8"/>
  <c r="L37" i="12"/>
  <c r="N37" i="12" s="1"/>
  <c r="H60" i="8"/>
  <c r="L18" i="12"/>
  <c r="N18" i="12" s="1"/>
  <c r="W3" i="12" s="1"/>
  <c r="X3" i="12" s="1"/>
  <c r="X4" i="12" s="1"/>
  <c r="H64" i="8"/>
  <c r="G60" i="7"/>
  <c r="G64" i="7"/>
  <c r="G59" i="7"/>
  <c r="G61" i="7"/>
  <c r="G63" i="7"/>
  <c r="F31" i="11"/>
  <c r="H31" i="11" s="1"/>
  <c r="F40" i="11"/>
  <c r="H40" i="11" s="1"/>
  <c r="X5" i="12" l="1"/>
  <c r="X6" i="12" s="1"/>
  <c r="Y13" i="12"/>
  <c r="L51" i="12" l="1"/>
  <c r="N51" i="12" s="1"/>
  <c r="H97" i="8"/>
  <c r="G95" i="7"/>
  <c r="G28" i="7" l="1"/>
  <c r="L22" i="12"/>
  <c r="N22" i="12" s="1"/>
  <c r="H28" i="8"/>
  <c r="G50" i="7"/>
  <c r="L35" i="12"/>
  <c r="N35" i="12" s="1"/>
  <c r="H50" i="8"/>
  <c r="L53" i="12"/>
  <c r="N53" i="12" s="1"/>
  <c r="H87" i="8"/>
  <c r="G85" i="7"/>
  <c r="L81" i="12" l="1"/>
  <c r="N81" i="12" s="1"/>
  <c r="G30" i="7"/>
  <c r="H30" i="8"/>
  <c r="H122" i="8"/>
  <c r="L100" i="12"/>
  <c r="N100" i="12" s="1"/>
  <c r="G47" i="7"/>
  <c r="L34" i="12"/>
  <c r="N34" i="12" s="1"/>
  <c r="H47" i="8"/>
  <c r="L46" i="12"/>
  <c r="N46" i="12" s="1"/>
  <c r="H34" i="8"/>
  <c r="G34" i="7"/>
  <c r="H39" i="8"/>
  <c r="L15" i="12"/>
  <c r="N15" i="12" s="1"/>
  <c r="G39" i="7"/>
  <c r="L85" i="12"/>
  <c r="N85" i="12" s="1"/>
  <c r="G32" i="7"/>
  <c r="H32" i="8"/>
  <c r="L77" i="12"/>
  <c r="N77" i="12" s="1"/>
  <c r="H31" i="8"/>
  <c r="G31" i="7"/>
  <c r="G42" i="7"/>
  <c r="L87" i="12"/>
  <c r="N87" i="12" s="1"/>
  <c r="H42" i="8"/>
  <c r="G37" i="7"/>
  <c r="H37" i="8"/>
  <c r="L42" i="12"/>
  <c r="N42" i="12" s="1"/>
  <c r="L84" i="12"/>
  <c r="N84" i="12" s="1"/>
  <c r="H29" i="8"/>
  <c r="G29" i="7"/>
  <c r="H94" i="8"/>
  <c r="G92" i="7"/>
  <c r="L94" i="12"/>
  <c r="N94" i="12" s="1"/>
  <c r="L45" i="12"/>
  <c r="N45" i="12" s="1"/>
  <c r="H36" i="8"/>
  <c r="G36" i="7"/>
  <c r="L39" i="12"/>
  <c r="N39" i="12" s="1"/>
  <c r="H51" i="8"/>
  <c r="G51" i="7"/>
  <c r="L56" i="12"/>
  <c r="N56" i="12" s="1"/>
  <c r="H43" i="8"/>
  <c r="G43" i="7"/>
  <c r="G33" i="7"/>
  <c r="L17" i="12"/>
  <c r="N17" i="12" s="1"/>
  <c r="H33" i="8"/>
  <c r="L93" i="12"/>
  <c r="N93" i="12" s="1"/>
  <c r="H91" i="8"/>
  <c r="G89" i="7"/>
  <c r="G87" i="7"/>
  <c r="L89" i="12"/>
  <c r="N89" i="12" s="1"/>
  <c r="H89" i="8"/>
  <c r="G53" i="7"/>
  <c r="L47" i="12"/>
  <c r="N47" i="12" s="1"/>
  <c r="H53" i="8"/>
  <c r="L41" i="12"/>
  <c r="N41" i="12" s="1"/>
  <c r="G52" i="7"/>
  <c r="H52" i="8"/>
  <c r="L55" i="12"/>
  <c r="N55" i="12" s="1"/>
  <c r="G44" i="7"/>
  <c r="H44" i="8"/>
  <c r="G41" i="7"/>
  <c r="H41" i="8"/>
  <c r="L80" i="12"/>
  <c r="N80" i="12" s="1"/>
  <c r="L88" i="12"/>
  <c r="N88" i="12" s="1"/>
  <c r="H99" i="8"/>
  <c r="G97" i="7"/>
  <c r="H49" i="8"/>
  <c r="G49" i="7"/>
  <c r="L50" i="12"/>
  <c r="N50" i="12" s="1"/>
  <c r="G86" i="7"/>
  <c r="L71" i="12"/>
  <c r="N71" i="12" s="1"/>
  <c r="H88" i="8"/>
  <c r="G46" i="7"/>
  <c r="H46" i="8"/>
  <c r="L30" i="12"/>
  <c r="N30" i="12" s="1"/>
  <c r="H80" i="8" l="1"/>
  <c r="L83" i="12"/>
  <c r="N83" i="12" s="1"/>
  <c r="G80" i="7"/>
  <c r="L67" i="12"/>
  <c r="N67" i="12" s="1"/>
  <c r="H95" i="8"/>
  <c r="G93" i="7"/>
  <c r="L82" i="12"/>
  <c r="N82" i="12" s="1"/>
  <c r="H90" i="8"/>
  <c r="G88" i="7"/>
  <c r="L91" i="12"/>
  <c r="N91" i="12" s="1"/>
  <c r="H96" i="8"/>
  <c r="G94" i="7"/>
  <c r="L79" i="12"/>
  <c r="N79" i="12" s="1"/>
  <c r="H121" i="8"/>
  <c r="F46" i="11"/>
  <c r="H46" i="11" s="1"/>
  <c r="H124" i="8"/>
  <c r="L102" i="12"/>
  <c r="N102" i="12" s="1"/>
  <c r="F49" i="11"/>
  <c r="H49" i="11" s="1"/>
  <c r="L90" i="12"/>
  <c r="N90" i="12" s="1"/>
  <c r="G40" i="7"/>
  <c r="H40" i="8"/>
  <c r="L101" i="12"/>
  <c r="N101" i="12" s="1"/>
  <c r="H123" i="8"/>
  <c r="H120" i="8"/>
  <c r="L78" i="12"/>
  <c r="N78" i="12" s="1"/>
  <c r="F44" i="11"/>
  <c r="H44" i="11" s="1"/>
  <c r="L48" i="12"/>
  <c r="N48" i="12" s="1"/>
  <c r="H38" i="8"/>
  <c r="G38" i="7"/>
  <c r="G91" i="7"/>
  <c r="L16" i="12"/>
  <c r="N16" i="12" s="1"/>
  <c r="H93" i="8"/>
  <c r="L36" i="12"/>
  <c r="N36" i="12" s="1"/>
  <c r="H98" i="8"/>
  <c r="G96" i="7"/>
  <c r="L59" i="12"/>
  <c r="N59" i="12" s="1"/>
  <c r="H92" i="8"/>
  <c r="G90" i="7"/>
  <c r="H66" i="8" l="1"/>
  <c r="G66" i="7"/>
  <c r="L70" i="12"/>
  <c r="N70" i="12" s="1"/>
  <c r="L11" i="12"/>
  <c r="N11" i="12" s="1"/>
  <c r="H86" i="8"/>
  <c r="G84" i="7"/>
  <c r="G57" i="7"/>
  <c r="H57" i="8"/>
  <c r="L27" i="12"/>
  <c r="N27" i="12" s="1"/>
  <c r="H35" i="8"/>
  <c r="G35" i="7"/>
  <c r="L86" i="12"/>
  <c r="N86" i="12" s="1"/>
  <c r="O11" i="12" l="1"/>
  <c r="O12" i="12" s="1"/>
  <c r="W14" i="12"/>
  <c r="X14" i="12" s="1"/>
  <c r="W16" i="12"/>
  <c r="W17" i="12"/>
  <c r="W15" i="12"/>
  <c r="O13" i="12" l="1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X15" i="12"/>
  <c r="Y14" i="12"/>
  <c r="O24" i="12" l="1"/>
  <c r="O25" i="12" s="1"/>
  <c r="O26" i="12" s="1"/>
  <c r="O27" i="12" s="1"/>
  <c r="O28" i="12" s="1"/>
  <c r="O29" i="12" s="1"/>
  <c r="O30" i="12" s="1"/>
  <c r="O31" i="12" s="1"/>
  <c r="O32" i="12" s="1"/>
  <c r="O33" i="12" s="1"/>
  <c r="O34" i="12" s="1"/>
  <c r="O35" i="12" s="1"/>
  <c r="O36" i="12" s="1"/>
  <c r="O37" i="12" s="1"/>
  <c r="O38" i="12" s="1"/>
  <c r="O39" i="12" s="1"/>
  <c r="O40" i="12" s="1"/>
  <c r="O41" i="12" s="1"/>
  <c r="O42" i="12" s="1"/>
  <c r="O43" i="12" s="1"/>
  <c r="O44" i="12" s="1"/>
  <c r="O45" i="12" s="1"/>
  <c r="O46" i="12" s="1"/>
  <c r="O47" i="12" s="1"/>
  <c r="O48" i="12" s="1"/>
  <c r="O49" i="12" s="1"/>
  <c r="O50" i="12" s="1"/>
  <c r="O51" i="12" s="1"/>
  <c r="O52" i="12" s="1"/>
  <c r="O53" i="12" s="1"/>
  <c r="O54" i="12" s="1"/>
  <c r="O55" i="12" s="1"/>
  <c r="O56" i="12" s="1"/>
  <c r="O57" i="12" s="1"/>
  <c r="O58" i="12" s="1"/>
  <c r="O59" i="12" s="1"/>
  <c r="O60" i="12" s="1"/>
  <c r="O61" i="12" s="1"/>
  <c r="O62" i="12" s="1"/>
  <c r="O63" i="12" s="1"/>
  <c r="O64" i="12" s="1"/>
  <c r="O65" i="12" s="1"/>
  <c r="O66" i="12" s="1"/>
  <c r="O67" i="12" s="1"/>
  <c r="O68" i="12" s="1"/>
  <c r="O69" i="12" s="1"/>
  <c r="O70" i="12" s="1"/>
  <c r="O71" i="12" s="1"/>
  <c r="O72" i="12" s="1"/>
  <c r="O73" i="12" s="1"/>
  <c r="O74" i="12" s="1"/>
  <c r="O75" i="12" s="1"/>
  <c r="O76" i="12" s="1"/>
  <c r="O77" i="12" s="1"/>
  <c r="O78" i="12" s="1"/>
  <c r="O79" i="12" s="1"/>
  <c r="O80" i="12" s="1"/>
  <c r="O81" i="12" s="1"/>
  <c r="O82" i="12" s="1"/>
  <c r="O83" i="12" s="1"/>
  <c r="O84" i="12" s="1"/>
  <c r="O85" i="12" s="1"/>
  <c r="O86" i="12" s="1"/>
  <c r="O87" i="12" s="1"/>
  <c r="O88" i="12" s="1"/>
  <c r="O89" i="12" s="1"/>
  <c r="O90" i="12" s="1"/>
  <c r="O91" i="12" s="1"/>
  <c r="O92" i="12" s="1"/>
  <c r="O93" i="12" s="1"/>
  <c r="O94" i="12" s="1"/>
  <c r="O95" i="12" s="1"/>
  <c r="X16" i="12"/>
  <c r="Y15" i="12"/>
  <c r="X17" i="12" l="1"/>
  <c r="Y16" i="12"/>
  <c r="H125" i="8" l="1"/>
  <c r="L103" i="12"/>
  <c r="N103" i="12" s="1"/>
  <c r="F50" i="11"/>
  <c r="H50" i="11" s="1"/>
  <c r="W18" i="12" l="1"/>
  <c r="X18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tc={C99DDDF0-FE14-40AF-BF0D-F03E7B6CAD63}</author>
    <author>tc={46424BB6-46DB-48EB-93B4-44AA62DEA6ED}</author>
  </authors>
  <commentList>
    <comment ref="O4" authorId="0" shapeId="0" xr:uid="{C99DDDF0-FE14-40AF-BF0D-F03E7B6CAD63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GIS: 3,160' (0.6 miles)</t>
        </r>
      </text>
    </comment>
    <comment ref="D9" authorId="1" shapeId="0" xr:uid="{46424BB6-46DB-48EB-93B4-44AA62DEA6ED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Beechurst Avenue from University Ave to Campus Dr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tc={B372A028-7180-4F5D-B4CF-A4CE9D2D7AFF}</author>
  </authors>
  <commentList>
    <comment ref="C32" authorId="0" shapeId="0" xr:uid="{B372A028-7180-4F5D-B4CF-A4CE9D2D7AFF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AKA: STAR CITY I/C IMPROVEMENTS (GO BOND 3)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tc={472A1EF8-FE99-4B58-A7DF-DCDEEF6C476F}</author>
  </authors>
  <commentList>
    <comment ref="J1" authorId="0" shapeId="0" xr:uid="{472A1EF8-FE99-4B58-A7DF-DCDEEF6C476F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US Inflation Calculator - BLS https://www.bls.gov/data/inflation_calculator.htm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tc={4A1902D5-1B04-4234-B91C-5FC94809E5A1}</author>
    <author>tc={2228C6A5-525F-4F37-B021-0D4A3061405A}</author>
  </authors>
  <commentList>
    <comment ref="O1" authorId="0" shapeId="0" xr:uid="{4A1902D5-1B04-4234-B91C-5FC94809E5A1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US Inflation Calculator - BLS https://www.bls.gov/data/inflation_calculator.htm</t>
        </r>
      </text>
    </comment>
    <comment ref="N12" authorId="1" shapeId="0" xr:uid="{2228C6A5-525F-4F37-B021-0D4A3061405A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Feels low for nearly 10 miles of improvements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tc={358CBF41-A6B9-48D1-B12F-AD3E1A227968}</author>
  </authors>
  <commentList>
    <comment ref="F13" authorId="0" shapeId="0" xr:uid="{358CBF41-A6B9-48D1-B12F-AD3E1A22796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Interstates only - won't work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tc={916D2E0B-7DF8-4CDA-85F5-AEC9000FB916}</author>
    <author>tc={2FD1F2DC-CB6E-4653-A24F-3C4F5991E339}</author>
  </authors>
  <commentList>
    <comment ref="G5" authorId="0" shapeId="0" xr:uid="{916D2E0B-7DF8-4CDA-85F5-AEC9000FB916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GIS: 3,160' (0.6 miles)</t>
        </r>
      </text>
    </comment>
    <comment ref="B17" authorId="1" shapeId="0" xr:uid="{2FD1F2DC-CB6E-4653-A24F-3C4F5991E339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Beechurst Avenue from University Ave to Campus Dr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tc={E90CA1D1-6A65-4116-8D66-252E0FF3D033}</author>
    <author>tc={D1C1D6CE-7FEE-4E88-B79A-5A7181C9C33F}</author>
  </authors>
  <commentList>
    <comment ref="X4" authorId="0" shapeId="0" xr:uid="{E90CA1D1-6A65-4116-8D66-252E0FF3D033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TIF assumptions added to Tier 1</t>
        </r>
      </text>
    </comment>
    <comment ref="R21" authorId="1" shapeId="0" xr:uid="{D1C1D6CE-7FEE-4E88-B79A-5A7181C9C33F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5-year payback period. TIF pays back WVDOH</t>
        </r>
      </text>
    </comment>
  </commentList>
</comments>
</file>

<file path=xl/sharedStrings.xml><?xml version="1.0" encoding="utf-8"?>
<sst xmlns="http://schemas.openxmlformats.org/spreadsheetml/2006/main" count="8135" uniqueCount="1765">
  <si>
    <t>Federal ID</t>
  </si>
  <si>
    <t>State ID</t>
  </si>
  <si>
    <t>Project Name</t>
  </si>
  <si>
    <t>From</t>
  </si>
  <si>
    <t>To</t>
  </si>
  <si>
    <t>FFY</t>
  </si>
  <si>
    <t>Funding Source</t>
  </si>
  <si>
    <t>Phase</t>
  </si>
  <si>
    <t>Federal Funds</t>
  </si>
  <si>
    <t>Total Funds</t>
  </si>
  <si>
    <t>Route</t>
  </si>
  <si>
    <t>BMP</t>
  </si>
  <si>
    <t>Miles</t>
  </si>
  <si>
    <t>Mode</t>
  </si>
  <si>
    <t>Category</t>
  </si>
  <si>
    <t>Type of Work</t>
  </si>
  <si>
    <t>Obligation Date</t>
  </si>
  <si>
    <t>Staus[i]</t>
  </si>
  <si>
    <t>PM[ii]</t>
  </si>
  <si>
    <t>MPO Goals[iii]</t>
  </si>
  <si>
    <t>Date of Approval</t>
  </si>
  <si>
    <t>Note</t>
  </si>
  <si>
    <t>Project_ID</t>
  </si>
  <si>
    <t>GIS File</t>
  </si>
  <si>
    <t>GIS OID</t>
  </si>
  <si>
    <t>NHPP0793280D</t>
  </si>
  <si>
    <t>S331791438100</t>
  </si>
  <si>
    <t>HALLECK RD OVERPASS (AC PAYBACK)</t>
  </si>
  <si>
    <t>NHPP</t>
  </si>
  <si>
    <t>CON</t>
  </si>
  <si>
    <t>I079</t>
  </si>
  <si>
    <t>Roadway</t>
  </si>
  <si>
    <t>Bridge</t>
  </si>
  <si>
    <t>REPLACE BRIDGE</t>
  </si>
  <si>
    <t>PM2</t>
  </si>
  <si>
    <t xml:space="preserve">1, 3, 8 </t>
  </si>
  <si>
    <t>T190602C01</t>
  </si>
  <si>
    <t>Line</t>
  </si>
  <si>
    <t>HALLECK RD OVERPASS (AUTH AC PROJECT)</t>
  </si>
  <si>
    <t>$-</t>
  </si>
  <si>
    <t>(PM 2)</t>
  </si>
  <si>
    <t>1, 3, 8</t>
  </si>
  <si>
    <t>CMAQ2020069D</t>
  </si>
  <si>
    <t>S331MMMVP2000</t>
  </si>
  <si>
    <t>MMMPO VANPOOL</t>
  </si>
  <si>
    <t>CMAQ</t>
  </si>
  <si>
    <t>ENG</t>
  </si>
  <si>
    <t>None</t>
  </si>
  <si>
    <t>Transit</t>
  </si>
  <si>
    <t>Amenities</t>
  </si>
  <si>
    <t>VANPOOL PURCHASE</t>
  </si>
  <si>
    <t>PM3</t>
  </si>
  <si>
    <t>NRT2015244D</t>
  </si>
  <si>
    <t>T631NORTH100</t>
  </si>
  <si>
    <t>NORTH CENTRAL RAIL TRAIL MAP UPDATE</t>
  </si>
  <si>
    <t>NRT</t>
  </si>
  <si>
    <t>NA999</t>
  </si>
  <si>
    <t>Walk-Bike</t>
  </si>
  <si>
    <t>UPDATE &amp; PRINT TRAIL BROCHURE</t>
  </si>
  <si>
    <t>3, 6</t>
  </si>
  <si>
    <t>NRT2017162D</t>
  </si>
  <si>
    <t>U331BOPAR200</t>
  </si>
  <si>
    <t>BOPARC TRAIL EQUIPMENT</t>
  </si>
  <si>
    <t>EQUIPMENT PURCHASE</t>
  </si>
  <si>
    <t>(PM 1)</t>
  </si>
  <si>
    <t xml:space="preserve">3, 7 </t>
  </si>
  <si>
    <t>TEA2014195D</t>
  </si>
  <si>
    <t>U331MORGA1800</t>
  </si>
  <si>
    <t>MORGANTOWN BICYCLE SIGNAGE</t>
  </si>
  <si>
    <t>TAP</t>
  </si>
  <si>
    <t>PURCHASE BICYCLE SIGNAGE</t>
  </si>
  <si>
    <t>TAP2018215D</t>
  </si>
  <si>
    <t>U331MONON604</t>
  </si>
  <si>
    <t>DUNKARD AVE SIDEWALKS PHASE V</t>
  </si>
  <si>
    <t>Sidewalk</t>
  </si>
  <si>
    <t>CONSTRUCT SIDEWALK</t>
  </si>
  <si>
    <t>T200803C</t>
  </si>
  <si>
    <t>NRT2014221</t>
  </si>
  <si>
    <t>U331COLLI100</t>
  </si>
  <si>
    <t>COLLINS FERRY CONNECTOR TRAIL</t>
  </si>
  <si>
    <t>NA</t>
  </si>
  <si>
    <t>Trail</t>
  </si>
  <si>
    <t>CONSTRUCT TRAIL</t>
  </si>
  <si>
    <t>2, 3, 6, 7</t>
  </si>
  <si>
    <t>T150802C</t>
  </si>
  <si>
    <t>STP0792204DTC</t>
  </si>
  <si>
    <t>S331791525200</t>
  </si>
  <si>
    <t>WESTOVER BR</t>
  </si>
  <si>
    <t>STP</t>
  </si>
  <si>
    <t>REP PIERS, REPL DECK JOINTS</t>
  </si>
  <si>
    <t>3, 4, 8</t>
  </si>
  <si>
    <t>STP0792205DTC</t>
  </si>
  <si>
    <t xml:space="preserve">3, 4, 8 </t>
  </si>
  <si>
    <t>T200615C</t>
  </si>
  <si>
    <t>NHPP0796271TC</t>
  </si>
  <si>
    <t>X331791560000</t>
  </si>
  <si>
    <t>WV 7 OP INTERCHANGE (AUTH AC PROJECT) (SPLIT FUNDED)</t>
  </si>
  <si>
    <t>HWI</t>
  </si>
  <si>
    <t>Interchange</t>
  </si>
  <si>
    <t>CONST NEW I/C AND ACCESS RD</t>
  </si>
  <si>
    <t>2, 4, 8</t>
  </si>
  <si>
    <t>T180303C01</t>
  </si>
  <si>
    <t>­3/26/2018</t>
  </si>
  <si>
    <t>NFA2317029D</t>
  </si>
  <si>
    <t>U331791545000</t>
  </si>
  <si>
    <t>Modify</t>
  </si>
  <si>
    <t>T180701C</t>
  </si>
  <si>
    <t>NHPP0793269D</t>
  </si>
  <si>
    <t>S3317915400</t>
  </si>
  <si>
    <t>MYLAN PARK BRIDGE APPROACH</t>
  </si>
  <si>
    <t>REALIGN APPROACHES</t>
  </si>
  <si>
    <t>CMAQ0007263D</t>
  </si>
  <si>
    <t>U3317362000</t>
  </si>
  <si>
    <t>BROOKHAVEN ROAD IMPROVEMENTS</t>
  </si>
  <si>
    <t>ROW</t>
  </si>
  <si>
    <t>WV007</t>
  </si>
  <si>
    <t>Widen</t>
  </si>
  <si>
    <t>PM1</t>
  </si>
  <si>
    <t>1, 3, 6</t>
  </si>
  <si>
    <t>T150901C</t>
  </si>
  <si>
    <t>HSIP0100152D</t>
  </si>
  <si>
    <t>U33110010200</t>
  </si>
  <si>
    <t>I/S WV 100 &amp; DENTS RUN IMPROVEMENT</t>
  </si>
  <si>
    <t>HSIP</t>
  </si>
  <si>
    <t>WV100</t>
  </si>
  <si>
    <t>IMPROVE TURNING RADIUS/INTERSECTION</t>
  </si>
  <si>
    <t>T150904C</t>
  </si>
  <si>
    <t>U33167118600</t>
  </si>
  <si>
    <t>CO067/01</t>
  </si>
  <si>
    <t>IMPROVE I/S &amp; WIDEN</t>
  </si>
  <si>
    <t>PM1. PM3</t>
  </si>
  <si>
    <t>T180304C</t>
  </si>
  <si>
    <t>NFA2317231</t>
  </si>
  <si>
    <t>VAN VOORHIS RD WIDENING</t>
  </si>
  <si>
    <t>NFA</t>
  </si>
  <si>
    <t>CO059</t>
  </si>
  <si>
    <t>WIDEN, IMPROVE DRAINAGE, ADD SIDEWALKS</t>
  </si>
  <si>
    <t>PM1 PM3</t>
  </si>
  <si>
    <t xml:space="preserve">1, 3, 6, 7 </t>
  </si>
  <si>
    <t>LIne</t>
  </si>
  <si>
    <t>NHPP0019437DTC</t>
  </si>
  <si>
    <t>U331191410</t>
  </si>
  <si>
    <t>BOYERS AVE / US 19 IMPROVEMENTS</t>
  </si>
  <si>
    <t>US019</t>
  </si>
  <si>
    <t>WIDEN, TURN LANE, TRAFFIC SIGNAL</t>
  </si>
  <si>
    <t>T150801C</t>
  </si>
  <si>
    <t>NHPP0019444D</t>
  </si>
  <si>
    <t>U33119132400</t>
  </si>
  <si>
    <r>
      <t xml:space="preserve">BEECHURST AVE @ 6TH </t>
    </r>
    <r>
      <rPr>
        <b/>
        <sz val="9"/>
        <color rgb="FFFF0000"/>
        <rFont val="Calibri"/>
        <family val="2"/>
        <scheme val="minor"/>
      </rPr>
      <t>(GO BOND 4)</t>
    </r>
  </si>
  <si>
    <t>PM1, PM3</t>
  </si>
  <si>
    <t>1, 3, 4, 6</t>
  </si>
  <si>
    <t>Federal ID is different</t>
  </si>
  <si>
    <t>T180301C</t>
  </si>
  <si>
    <t>NRT2018217D</t>
  </si>
  <si>
    <t>U331CAPER300</t>
  </si>
  <si>
    <t>CAPERTON TRAIL LIGHTING</t>
  </si>
  <si>
    <t>INSTALL LIGHTING</t>
  </si>
  <si>
    <t>NRT2012693D</t>
  </si>
  <si>
    <t>U331DECKE200</t>
  </si>
  <si>
    <t>DECKERS CREEK TRAIL RESURFACING</t>
  </si>
  <si>
    <t>PAVE TRAIL</t>
  </si>
  <si>
    <t>T150902C</t>
  </si>
  <si>
    <t>NRT2018214D</t>
  </si>
  <si>
    <t>U331CAPER200</t>
  </si>
  <si>
    <t>CAPERTON TRAIL DRAINAGE</t>
  </si>
  <si>
    <t>DESIGN/UPGRADE DRAINAGE</t>
  </si>
  <si>
    <t>CO045</t>
  </si>
  <si>
    <t>T150803C</t>
  </si>
  <si>
    <t>ACST1925001DTC</t>
  </si>
  <si>
    <t>S331192505500</t>
  </si>
  <si>
    <t>CO019/25</t>
  </si>
  <si>
    <t>NFA2317346</t>
  </si>
  <si>
    <t>S3311967600</t>
  </si>
  <si>
    <t>T200611C</t>
  </si>
  <si>
    <t>WV 7 OP INTERCHANGE (AC PAYBACK) (SPLIT FUNDED)</t>
  </si>
  <si>
    <t>(PM 2, 3)</t>
  </si>
  <si>
    <t>NHPP0793270DTC</t>
  </si>
  <si>
    <t>STP0100157D</t>
  </si>
  <si>
    <t>T200807C</t>
  </si>
  <si>
    <t>TEA2012638D</t>
  </si>
  <si>
    <t>U331MORGA1700</t>
  </si>
  <si>
    <t>WALNUT ST STREETSCAPE 2012</t>
  </si>
  <si>
    <t>CONST WALK, CROSSWALKS, CURB CUTS, LIGHTING</t>
  </si>
  <si>
    <t>T150807C</t>
  </si>
  <si>
    <t>CMAQ0007264D</t>
  </si>
  <si>
    <t>U33167100000</t>
  </si>
  <si>
    <t>T150905C</t>
  </si>
  <si>
    <t>NHPP0019438DTC</t>
  </si>
  <si>
    <t>NHPP0019439DTC</t>
  </si>
  <si>
    <t>NHPP0019481DTC</t>
  </si>
  <si>
    <t>U33119114400</t>
  </si>
  <si>
    <t>UNIVERSITY AVE - CAMPUS DR</t>
  </si>
  <si>
    <t>WIDEN ROADWAY</t>
  </si>
  <si>
    <t>Project name is 'Beechurst Ave Improvement</t>
  </si>
  <si>
    <t>T200402C</t>
  </si>
  <si>
    <t>CO857</t>
  </si>
  <si>
    <t>M17006T</t>
  </si>
  <si>
    <t>Point</t>
  </si>
  <si>
    <t>NRT2018218D</t>
  </si>
  <si>
    <t>S33110000000</t>
  </si>
  <si>
    <t>HOLLAND AVE +1</t>
  </si>
  <si>
    <t>DESIGN/BUILD ADA RAMPS</t>
  </si>
  <si>
    <t>TAP2018216D</t>
  </si>
  <si>
    <t>NRT2012686D</t>
  </si>
  <si>
    <t>U331DECKE300</t>
  </si>
  <si>
    <t>DECKERS CREEK TRAIL UNDERCUT REPAIR</t>
  </si>
  <si>
    <t>REPAIR EXISTING TRAIL</t>
  </si>
  <si>
    <t>NRT2014219D</t>
  </si>
  <si>
    <t>U331FOUND100</t>
  </si>
  <si>
    <t>FOUNDRY ST LINKAGE TRAIL</t>
  </si>
  <si>
    <t>T150804C</t>
  </si>
  <si>
    <t>NRT2015041D</t>
  </si>
  <si>
    <t>U331STARC800</t>
  </si>
  <si>
    <t>STAR CITY TRAIL CONNECTOR</t>
  </si>
  <si>
    <t>T200401C</t>
  </si>
  <si>
    <t>TAP2016336D</t>
  </si>
  <si>
    <t>U331MORGA2000</t>
  </si>
  <si>
    <t>MORGANTOWN MULTIUSE PATH</t>
  </si>
  <si>
    <t>DESIGN/CONST TRAIL</t>
  </si>
  <si>
    <t>T170301C</t>
  </si>
  <si>
    <t>NFA2317022D</t>
  </si>
  <si>
    <t>GREENBAG ROAD (GO BOND 4)</t>
  </si>
  <si>
    <t>T180302C</t>
  </si>
  <si>
    <t>NHPP-EXEMPT</t>
  </si>
  <si>
    <t>NHPP0793286D</t>
  </si>
  <si>
    <t>S331791583000</t>
  </si>
  <si>
    <t>I-79 SB WELCOME CENTER</t>
  </si>
  <si>
    <t>T200609C</t>
  </si>
  <si>
    <t>STP0055052D</t>
  </si>
  <si>
    <t>S3315500000</t>
  </si>
  <si>
    <t>UNIVERSITY AVE +2</t>
  </si>
  <si>
    <t>CO055</t>
  </si>
  <si>
    <t>Maintenance</t>
  </si>
  <si>
    <t>SPR</t>
  </si>
  <si>
    <t>How many of the 8 projects in FY2020 are complete?</t>
  </si>
  <si>
    <t>Only 4 are found in the GIS dataset</t>
  </si>
  <si>
    <t xml:space="preserve"> M17036T</t>
  </si>
  <si>
    <t>Intersection</t>
  </si>
  <si>
    <t>Priority Pedestrian Crossing Improvement</t>
  </si>
  <si>
    <t xml:space="preserve"> M17037T</t>
  </si>
  <si>
    <t xml:space="preserve"> M17034T</t>
  </si>
  <si>
    <t xml:space="preserve"> M17035T</t>
  </si>
  <si>
    <t xml:space="preserve"> M17021T</t>
  </si>
  <si>
    <t xml:space="preserve"> M17020T</t>
  </si>
  <si>
    <t xml:space="preserve"> M17023T</t>
  </si>
  <si>
    <t xml:space="preserve"> M17017T</t>
  </si>
  <si>
    <t xml:space="preserve"> M17018T</t>
  </si>
  <si>
    <t xml:space="preserve"> M17012T</t>
  </si>
  <si>
    <t xml:space="preserve"> M17015T</t>
  </si>
  <si>
    <t xml:space="preserve"> M17009T</t>
  </si>
  <si>
    <t xml:space="preserve"> M17008T</t>
  </si>
  <si>
    <t xml:space="preserve"> M17011T</t>
  </si>
  <si>
    <t xml:space="preserve"> M17030T</t>
  </si>
  <si>
    <t xml:space="preserve"> M17029T</t>
  </si>
  <si>
    <t xml:space="preserve"> M17032T</t>
  </si>
  <si>
    <t xml:space="preserve"> M17025T</t>
  </si>
  <si>
    <t xml:space="preserve"> M17028T</t>
  </si>
  <si>
    <t xml:space="preserve"> M17027T</t>
  </si>
  <si>
    <t xml:space="preserve"> M17007T</t>
  </si>
  <si>
    <t>OID_</t>
  </si>
  <si>
    <t>SymbolID</t>
  </si>
  <si>
    <t>Name</t>
  </si>
  <si>
    <t>-</t>
  </si>
  <si>
    <t>Repair piers, Replace deck joints</t>
  </si>
  <si>
    <t>WESTOVER BR Engineering - Proposed</t>
  </si>
  <si>
    <t>S3313700000</t>
  </si>
  <si>
    <t>Resurfacing</t>
  </si>
  <si>
    <t>Design/Build ADA Ramps</t>
  </si>
  <si>
    <t>WESTOVER BR Construction - Proposed</t>
  </si>
  <si>
    <t>S33159200100</t>
  </si>
  <si>
    <t>S33121800000</t>
  </si>
  <si>
    <t>S331857124300</t>
  </si>
  <si>
    <t>Tier 2</t>
  </si>
  <si>
    <t>MTP Project Corridor</t>
  </si>
  <si>
    <t>M17001C</t>
  </si>
  <si>
    <t>Tier 1</t>
  </si>
  <si>
    <t>M17026C</t>
  </si>
  <si>
    <t>North Side Connector Bus Rapid Transit</t>
  </si>
  <si>
    <t>M17028C</t>
  </si>
  <si>
    <t>Tier 4</t>
  </si>
  <si>
    <t>M17016C</t>
  </si>
  <si>
    <t>Old Cheat Rd/Cheat Rd Bike Lanes</t>
  </si>
  <si>
    <t>M17014C</t>
  </si>
  <si>
    <t>Cheat Rd Improvements</t>
  </si>
  <si>
    <t>Tier 3</t>
  </si>
  <si>
    <t>M17034C</t>
  </si>
  <si>
    <t>M17010C</t>
  </si>
  <si>
    <t>Burroughs St Improvements</t>
  </si>
  <si>
    <t>M17030C</t>
  </si>
  <si>
    <t>M17025C</t>
  </si>
  <si>
    <t>M17020C</t>
  </si>
  <si>
    <t>M17022C</t>
  </si>
  <si>
    <t>M17047C</t>
  </si>
  <si>
    <t>Smithtown Rd Improvements</t>
  </si>
  <si>
    <t>M17029C</t>
  </si>
  <si>
    <t>Grafton Rd (US 119) Improvements</t>
  </si>
  <si>
    <t>M17019C</t>
  </si>
  <si>
    <t>Dorsey Ave Sidewalk Improvements</t>
  </si>
  <si>
    <t>M17048C</t>
  </si>
  <si>
    <t>M17049C</t>
  </si>
  <si>
    <t>M17004C</t>
  </si>
  <si>
    <t>I-79/Chaplin Hill Rd/US-19 Interchange Improvements</t>
  </si>
  <si>
    <t>M17003C</t>
  </si>
  <si>
    <t>Lazzelle Union Rd (WV-100) Improvements</t>
  </si>
  <si>
    <t>M17027C</t>
  </si>
  <si>
    <t>Grant Ave Bicycle/Pedestrian Connector</t>
  </si>
  <si>
    <t>Beechurst Ave Improvements</t>
  </si>
  <si>
    <t>M17021C</t>
  </si>
  <si>
    <t>M17018C</t>
  </si>
  <si>
    <t>Greenbag Rd Improvements Phase I</t>
  </si>
  <si>
    <t>M17017C</t>
  </si>
  <si>
    <t>Fairmont Rd/Holland Ave Improvements Phase I</t>
  </si>
  <si>
    <t>M17009C</t>
  </si>
  <si>
    <t>University Ave Complete Street Improvements I</t>
  </si>
  <si>
    <t>M17012C</t>
  </si>
  <si>
    <t>Stewartstown Rd Improvements</t>
  </si>
  <si>
    <t>M17013C</t>
  </si>
  <si>
    <t>West Run Rd Improvements-Eastern Section</t>
  </si>
  <si>
    <t>M17011C</t>
  </si>
  <si>
    <t>West Run Improvements-Western Section</t>
  </si>
  <si>
    <t>M17007C</t>
  </si>
  <si>
    <t>STP0119481D</t>
  </si>
  <si>
    <t>STP0592001D</t>
  </si>
  <si>
    <t>STP0007305D</t>
  </si>
  <si>
    <t>NHPP0068183D</t>
  </si>
  <si>
    <t>NHPP0793000D</t>
  </si>
  <si>
    <t xml:space="preserve">S33145115000 </t>
  </si>
  <si>
    <t>STBG0045080DTC</t>
  </si>
  <si>
    <t>T191101C</t>
  </si>
  <si>
    <t>River Rd Slide Repair</t>
  </si>
  <si>
    <t xml:space="preserve">U33185706700 </t>
  </si>
  <si>
    <t>Greenbag Rd Corridor Improvements</t>
  </si>
  <si>
    <t xml:space="preserve">S3317915400 </t>
  </si>
  <si>
    <t>I-79 Exit 155 Interchange Bridge Improvements</t>
  </si>
  <si>
    <t>StateProjectID</t>
  </si>
  <si>
    <t>Funding</t>
  </si>
  <si>
    <t>Status</t>
  </si>
  <si>
    <t>Morgantown Industrial Park Access Improvements</t>
  </si>
  <si>
    <t>Subarea</t>
  </si>
  <si>
    <t xml:space="preserve"> M18050S</t>
  </si>
  <si>
    <t xml:space="preserve"> M17045S</t>
  </si>
  <si>
    <t>Programmed</t>
  </si>
  <si>
    <t>I-79 Access Improvements Phase I</t>
  </si>
  <si>
    <t>New Connection</t>
  </si>
  <si>
    <t xml:space="preserve"> M17006N</t>
  </si>
  <si>
    <t>PRT Connection New Business Park to Evansdale Campus</t>
  </si>
  <si>
    <t xml:space="preserve"> M17035N</t>
  </si>
  <si>
    <t>Alternative Funding Dependent</t>
  </si>
  <si>
    <t>I-79 Access Improvements Phase II</t>
  </si>
  <si>
    <t xml:space="preserve"> M17007N</t>
  </si>
  <si>
    <t>Protzman/Falling Run Pedestrian and Bicycle Connector</t>
  </si>
  <si>
    <t xml:space="preserve"> M17024N</t>
  </si>
  <si>
    <t>PRT Extension from Mon General Hospital to Glenmark Centre</t>
  </si>
  <si>
    <t xml:space="preserve"> M17032N</t>
  </si>
  <si>
    <t>New Connection-Mileground Rd to Hartman Run Rd</t>
  </si>
  <si>
    <t xml:space="preserve"> M17036N</t>
  </si>
  <si>
    <t>PRT Extension from University Health Services to Mon General Hospital</t>
  </si>
  <si>
    <t xml:space="preserve"> M17031N</t>
  </si>
  <si>
    <t xml:space="preserve"> M17023N</t>
  </si>
  <si>
    <t xml:space="preserve"> M17037N</t>
  </si>
  <si>
    <t>Polygon</t>
  </si>
  <si>
    <t>Low priority project</t>
  </si>
  <si>
    <t>n/a</t>
  </si>
  <si>
    <t>Regional Model</t>
  </si>
  <si>
    <t>no impact</t>
  </si>
  <si>
    <t>Note / Status</t>
  </si>
  <si>
    <t>STBG</t>
  </si>
  <si>
    <t>STP0045069DTC</t>
  </si>
  <si>
    <t>S331 045 00242 00</t>
  </si>
  <si>
    <t>U3318570006700</t>
  </si>
  <si>
    <t>STP0857020DTC</t>
  </si>
  <si>
    <t>NFA2617007</t>
  </si>
  <si>
    <t>KMZ Map ID</t>
  </si>
  <si>
    <t>TAP2020175D</t>
  </si>
  <si>
    <t>U331 MORGA 19 00</t>
  </si>
  <si>
    <t>CONSTRUCT SIDEWALKS</t>
  </si>
  <si>
    <t>--</t>
  </si>
  <si>
    <t>NHPP0019497DTC</t>
  </si>
  <si>
    <t>S33119104300</t>
  </si>
  <si>
    <t>HOLLAND AVE + 1</t>
  </si>
  <si>
    <t>US119</t>
  </si>
  <si>
    <t>S3317331500</t>
  </si>
  <si>
    <t>BROCKWAY AVE</t>
  </si>
  <si>
    <t>S33159200000</t>
  </si>
  <si>
    <t>BURROUGH ST</t>
  </si>
  <si>
    <t>CO059/02</t>
  </si>
  <si>
    <t>S3316868000</t>
  </si>
  <si>
    <t>I-68 EXIT 7 RAMPS</t>
  </si>
  <si>
    <t>NHPP0068182DTC</t>
  </si>
  <si>
    <t>S3316898400</t>
  </si>
  <si>
    <t>LAUREL POINT BRIDGE (GO BOND 2/3)</t>
  </si>
  <si>
    <t>OTHER- BOND</t>
  </si>
  <si>
    <t>S331791522800</t>
  </si>
  <si>
    <t>EXIT 152 NB &amp; SB RAMPS</t>
  </si>
  <si>
    <t>S331791460000</t>
  </si>
  <si>
    <t>EXIT 146 SB EXIT RAMP</t>
  </si>
  <si>
    <t>NFA2617005</t>
  </si>
  <si>
    <t>U331 19 01144 00</t>
  </si>
  <si>
    <t>S33145115000</t>
  </si>
  <si>
    <t>RIVER ROAD SLIDES</t>
  </si>
  <si>
    <t>STBG0045082DTC</t>
  </si>
  <si>
    <t>NRT2018236D</t>
  </si>
  <si>
    <t>U331 CAPER 2 00</t>
  </si>
  <si>
    <t>--*</t>
  </si>
  <si>
    <t>OTHER- FED</t>
  </si>
  <si>
    <t>NRT2015294D</t>
  </si>
  <si>
    <t>U331 MONRV100</t>
  </si>
  <si>
    <t>MON RIVER RAIL TRL MNT EQ</t>
  </si>
  <si>
    <t>NHPP0793308D</t>
  </si>
  <si>
    <t>U384 79 10974 00</t>
  </si>
  <si>
    <t>I-79 BRIDGE REHABILITATIONS</t>
  </si>
  <si>
    <t>I-79</t>
  </si>
  <si>
    <t>REHAB BRS - DESIGN/BUILD</t>
  </si>
  <si>
    <t>NHPP0793313D</t>
  </si>
  <si>
    <t>U384 79 14037 00</t>
  </si>
  <si>
    <t>HWI-BR</t>
  </si>
  <si>
    <t>NHPP0793312DTC</t>
  </si>
  <si>
    <t>I-79 BRIDGE REPLACEMENTS (BUILD GRANT)</t>
  </si>
  <si>
    <t>EARMAR K- GRANT</t>
  </si>
  <si>
    <t>REPLACE 4 BR - DESIGN/BUILD</t>
  </si>
  <si>
    <t>NHPP0793309D</t>
  </si>
  <si>
    <t>S331 119 1442 00</t>
  </si>
  <si>
    <t>WILLEY ST</t>
  </si>
  <si>
    <t>Resurface</t>
  </si>
  <si>
    <t>HSIP0705020D</t>
  </si>
  <si>
    <t>U331 705 018 00</t>
  </si>
  <si>
    <t>PATTESON DR RRFB</t>
  </si>
  <si>
    <t>WV705</t>
  </si>
  <si>
    <t>INSTALL RRFB</t>
  </si>
  <si>
    <t>NHST2023015D</t>
  </si>
  <si>
    <t>T684 NBIS 23 00</t>
  </si>
  <si>
    <t>BRIDGE INSPECTION BY SF</t>
  </si>
  <si>
    <t>FY 23 SF BR INSPECT - D4</t>
  </si>
  <si>
    <t>STBG- OFF</t>
  </si>
  <si>
    <t>SPR2023318D</t>
  </si>
  <si>
    <t>T699 SPR 23 08</t>
  </si>
  <si>
    <t>PL OTHER FY 23 MMMPO</t>
  </si>
  <si>
    <t>PL</t>
  </si>
  <si>
    <t>Other</t>
  </si>
  <si>
    <t>HWY PLANNING &amp; RESEARCH</t>
  </si>
  <si>
    <t>NHST2024015D</t>
  </si>
  <si>
    <t>T684 NBIS 24 00</t>
  </si>
  <si>
    <t>FY 24 SF BR INSPECT - D4</t>
  </si>
  <si>
    <t>NHST2025019D</t>
  </si>
  <si>
    <t>T684 NBIS 25 00</t>
  </si>
  <si>
    <t>FY 25 SF BR INSPECT - D4</t>
  </si>
  <si>
    <t>NHST2026015D</t>
  </si>
  <si>
    <t>FY 26 SF BR INSPECT - D4</t>
  </si>
  <si>
    <t>FY 26 SF BR INSPECT- D4</t>
  </si>
  <si>
    <t>Street/Bridge Name</t>
  </si>
  <si>
    <t>Start Date</t>
  </si>
  <si>
    <t>Complete Date</t>
  </si>
  <si>
    <t>Morgantown Airport IND PK</t>
  </si>
  <si>
    <t>New Roadway Construction</t>
  </si>
  <si>
    <t>STPS</t>
  </si>
  <si>
    <t>Westover Dunkard Ave Side</t>
  </si>
  <si>
    <t>Repair Sidewalk</t>
  </si>
  <si>
    <t>TEA</t>
  </si>
  <si>
    <t>Mon River Water Trail Map</t>
  </si>
  <si>
    <t>Development and Printing Trail Map</t>
  </si>
  <si>
    <t>Morgantown Deckers Creek PE</t>
  </si>
  <si>
    <t>Construction Pedestrian Bridge</t>
  </si>
  <si>
    <t>Morgantown CBD Signal Sys</t>
  </si>
  <si>
    <t>Renovate Traffic Signals</t>
  </si>
  <si>
    <t>WVU Evansdale Pedestrian</t>
  </si>
  <si>
    <t>Westover Park Loop 2012</t>
  </si>
  <si>
    <t>Trail Construction</t>
  </si>
  <si>
    <t>Granville-Bertha Hill S</t>
  </si>
  <si>
    <t>Correct Slide</t>
  </si>
  <si>
    <t>Maidsville Rd</t>
  </si>
  <si>
    <t>Bowlby Rd</t>
  </si>
  <si>
    <t>Hornbeck-Stott Ave</t>
  </si>
  <si>
    <t>Airport Rd - Easton Elem</t>
  </si>
  <si>
    <t>Upgrade 4 Lanes</t>
  </si>
  <si>
    <t>STCM</t>
  </si>
  <si>
    <t>Stewartstown Rd</t>
  </si>
  <si>
    <t>Stewartstown - PA Line</t>
  </si>
  <si>
    <t>Day Brook Rd</t>
  </si>
  <si>
    <t>Patteson Drive Lighting</t>
  </si>
  <si>
    <t>Install Lighting</t>
  </si>
  <si>
    <t>Monongalia Blvd - Stewart</t>
  </si>
  <si>
    <t>WV 705 COMN</t>
  </si>
  <si>
    <t>Environment Assessment</t>
  </si>
  <si>
    <t>Airport Exit BR</t>
  </si>
  <si>
    <t>Replace Deck, Abutments</t>
  </si>
  <si>
    <t>Cheat Rd</t>
  </si>
  <si>
    <t>Resurface, Milling, Ditch</t>
  </si>
  <si>
    <t>Fairchance Rd</t>
  </si>
  <si>
    <t>Recall Striping</t>
  </si>
  <si>
    <t>District Wide Pavement Markings</t>
  </si>
  <si>
    <t>Roadway Striping</t>
  </si>
  <si>
    <t>District Wide Install PVMT Mark</t>
  </si>
  <si>
    <t>FY21 MMMPO</t>
  </si>
  <si>
    <t>Mason-Dixon Hwy</t>
  </si>
  <si>
    <t>Corr Slide(Soil Nails)</t>
  </si>
  <si>
    <t>ACNH</t>
  </si>
  <si>
    <t>WV 7 Monongalia GDRL</t>
  </si>
  <si>
    <t>Install GDRL</t>
  </si>
  <si>
    <t>WANA - Blacksville</t>
  </si>
  <si>
    <t>Blacksville - Pentress Rd</t>
  </si>
  <si>
    <t>Kings Run Rd - Buckeye Rd</t>
  </si>
  <si>
    <t>New Hill Rd</t>
  </si>
  <si>
    <t>Cassville Rd</t>
  </si>
  <si>
    <t>Cassville Slide</t>
  </si>
  <si>
    <t>Slide Repair</t>
  </si>
  <si>
    <t>MARP</t>
  </si>
  <si>
    <t>Intersection Improvement</t>
  </si>
  <si>
    <t>Bethel Rd</t>
  </si>
  <si>
    <t>2" Base Course</t>
  </si>
  <si>
    <t>Arnettsville Arch Bridge</t>
  </si>
  <si>
    <t>Repair Bridge</t>
  </si>
  <si>
    <t>Monongahela Blvd Lighting</t>
  </si>
  <si>
    <t>Upgrade Lighting</t>
  </si>
  <si>
    <t>NHHS</t>
  </si>
  <si>
    <t>Monongahela Blvd TWLTL</t>
  </si>
  <si>
    <t>Construct TWLTL</t>
  </si>
  <si>
    <t>US19@WV7 Design Study</t>
  </si>
  <si>
    <t>Design Study</t>
  </si>
  <si>
    <t>College Ave +3</t>
  </si>
  <si>
    <t>Design Build ADA Ramps</t>
  </si>
  <si>
    <t>Jakes Rd</t>
  </si>
  <si>
    <t>Little Indian Creek Rd</t>
  </si>
  <si>
    <t>Indian Creek Rd</t>
  </si>
  <si>
    <t>ACST</t>
  </si>
  <si>
    <t>Morgan Run Rd</t>
  </si>
  <si>
    <t>Bridge Inspection</t>
  </si>
  <si>
    <t>Rubles Run Rd</t>
  </si>
  <si>
    <t>BR- NBIS</t>
  </si>
  <si>
    <t>River Rd/Dupont Ave I/S</t>
  </si>
  <si>
    <t>Brand Rd</t>
  </si>
  <si>
    <t>Bowlby Rd/Bethel Church Rd/Number 8 Hollow</t>
  </si>
  <si>
    <t>Bertha Hill Rd</t>
  </si>
  <si>
    <t>Star City - Morgantown</t>
  </si>
  <si>
    <t>University Ave Intersection</t>
  </si>
  <si>
    <t>Design Report</t>
  </si>
  <si>
    <t>Collins Ferry</t>
  </si>
  <si>
    <t>Van Voorhis Rd</t>
  </si>
  <si>
    <t>Resurface, Widening, Gutter</t>
  </si>
  <si>
    <t>Van Voorhis Rd + 1, West Run</t>
  </si>
  <si>
    <t>Pineview Rd</t>
  </si>
  <si>
    <t>Harner/West Run</t>
  </si>
  <si>
    <t>I-79 - Sabraton</t>
  </si>
  <si>
    <t>Morgantown I-68 WB HFST</t>
  </si>
  <si>
    <t>HFST</t>
  </si>
  <si>
    <t>Morgantown Maryland Lighting</t>
  </si>
  <si>
    <t>Pierpont Rd EB Exit 7 Ramp</t>
  </si>
  <si>
    <t>Install LTL, Signal</t>
  </si>
  <si>
    <t>Cheat Lake Bridge</t>
  </si>
  <si>
    <t>Inspection</t>
  </si>
  <si>
    <t>Coopers Rock Pipe</t>
  </si>
  <si>
    <t>Replace Pipe</t>
  </si>
  <si>
    <t>Smithtown Rd</t>
  </si>
  <si>
    <t>Goshen Rd - Smithtown Rd</t>
  </si>
  <si>
    <t>Reconstruct</t>
  </si>
  <si>
    <t>Uffington Rd</t>
  </si>
  <si>
    <t>Whiteday Creek Bridge NB O/L+1</t>
  </si>
  <si>
    <t>Concrete Bridge Deck O/L</t>
  </si>
  <si>
    <t>Goshen Rd - Uffington</t>
  </si>
  <si>
    <t>CPL Thomas Bennett Mem Bridge</t>
  </si>
  <si>
    <t>Uffington - Westover</t>
  </si>
  <si>
    <t>Construction New Interchange</t>
  </si>
  <si>
    <t>Blue Horizon Dr - PA State Line</t>
  </si>
  <si>
    <t>Warranty SPEC</t>
  </si>
  <si>
    <t>Kingwood Pike</t>
  </si>
  <si>
    <t>Mon/Fayette Park and Ride</t>
  </si>
  <si>
    <t>Construction Park and Ride</t>
  </si>
  <si>
    <t>ACS-Lite System</t>
  </si>
  <si>
    <t>Design and Construct ACS-Lite System</t>
  </si>
  <si>
    <t>Deckers Creek Trail Repair</t>
  </si>
  <si>
    <t>Repair Trail</t>
  </si>
  <si>
    <r>
      <rPr>
        <sz val="12"/>
        <color theme="1" tint="0.499984740745262"/>
        <rFont val="Times New Roman"/>
        <family val="1"/>
      </rPr>
      <t>Statewide HWY Planning and
Research</t>
    </r>
  </si>
  <si>
    <r>
      <rPr>
        <sz val="12"/>
        <color theme="1" tint="0.499984740745262"/>
        <rFont val="Times New Roman"/>
        <family val="1"/>
      </rPr>
      <t>BR-
NBIS</t>
    </r>
  </si>
  <si>
    <r>
      <t xml:space="preserve">VIII List of Major Projects </t>
    </r>
    <r>
      <rPr>
        <b/>
        <sz val="14"/>
        <color rgb="FFFF0000"/>
        <rFont val="Times New Roman"/>
        <family val="1"/>
      </rPr>
      <t>completed</t>
    </r>
    <r>
      <rPr>
        <b/>
        <sz val="14"/>
        <color theme="1" tint="0.499984740745262"/>
        <rFont val="Times New Roman"/>
        <family val="1"/>
      </rPr>
      <t xml:space="preserve"> the Last Five Years</t>
    </r>
  </si>
  <si>
    <t>Study</t>
  </si>
  <si>
    <t>TotalCost</t>
  </si>
  <si>
    <t>YEAR</t>
  </si>
  <si>
    <t>OID</t>
  </si>
  <si>
    <t>Feature</t>
  </si>
  <si>
    <t>point</t>
  </si>
  <si>
    <t>Point / Line</t>
  </si>
  <si>
    <t>PLEASANT ST STREETSCAPE</t>
  </si>
  <si>
    <t>line</t>
  </si>
  <si>
    <t>low impact</t>
  </si>
  <si>
    <t>Closed Public Meeting Sites (wv.gov)</t>
  </si>
  <si>
    <t>Greenbag</t>
  </si>
  <si>
    <t>West Run</t>
  </si>
  <si>
    <t>Van Voorhis</t>
  </si>
  <si>
    <t>WVDOH pedestrian safety study with cameras - Bill to share list</t>
  </si>
  <si>
    <t>cross-reference with this list</t>
  </si>
  <si>
    <t>Grumbeins Island Improvement</t>
  </si>
  <si>
    <t>I-79 BRIDGE REPLACEMENTS</t>
  </si>
  <si>
    <t>Road</t>
  </si>
  <si>
    <t>tbd</t>
  </si>
  <si>
    <t>I-79 Granville Section Improvements - widen to 6-lanes</t>
  </si>
  <si>
    <t>I-79 Westover Section Improvements - widen to 6-lanes</t>
  </si>
  <si>
    <t>Earl Core Road (WV 7) at Southern Section Improvements</t>
  </si>
  <si>
    <t>White Park/Caperton Trail Connection - Bridge</t>
  </si>
  <si>
    <t>CO 857 Fairchance Road - proposed</t>
  </si>
  <si>
    <t>WV 218 Daybrook Road - Proposed</t>
  </si>
  <si>
    <t>BURROUGHS ST +4 - Proposed</t>
  </si>
  <si>
    <t>HOLLAND AVE +1 - Proposed</t>
  </si>
  <si>
    <t>UNIVERSITY AVE +2 - Proposed</t>
  </si>
  <si>
    <t>CO OO37 Pedlar Run-Hagans Road - Proposed</t>
  </si>
  <si>
    <r>
      <t xml:space="preserve">Downtown Morgantown </t>
    </r>
    <r>
      <rPr>
        <strike/>
        <sz val="10"/>
        <color theme="1"/>
        <rFont val="Calibri"/>
        <family val="2"/>
        <scheme val="minor"/>
      </rPr>
      <t>Signalization And</t>
    </r>
    <r>
      <rPr>
        <sz val="10"/>
        <color theme="1"/>
        <rFont val="Calibri"/>
        <family val="2"/>
        <scheme val="minor"/>
      </rPr>
      <t xml:space="preserve"> Street Changes</t>
    </r>
  </si>
  <si>
    <t>Possible that they have been constructed; or no longer a priority</t>
  </si>
  <si>
    <t>Description</t>
  </si>
  <si>
    <t>New 2-lane roadway connection (East-West) between Hartman Run Rd and Montgomery Ave</t>
  </si>
  <si>
    <t>0.77 miles; add two-way left turn lane; upgrade lighting</t>
  </si>
  <si>
    <t>0.22 miles; widen to 4 lanes (from 3); realignment to 4-way intersection</t>
  </si>
  <si>
    <t>I-68 Exit ramp widening to 2 lanes; new signal</t>
  </si>
  <si>
    <t>I-79 I/C Exit 153</t>
  </si>
  <si>
    <t>I-79 Exit 153 interchange at University Town Centre Dr (recent aerial imagery)</t>
  </si>
  <si>
    <t>Greenbag WV 7/CR857 at Earl Core Rd</t>
  </si>
  <si>
    <t>Improve geometry of intersection; Green bag Rd at Earl Core Rd</t>
  </si>
  <si>
    <t>University Ave</t>
  </si>
  <si>
    <t>Campus Drive</t>
  </si>
  <si>
    <t>Revenue Category</t>
  </si>
  <si>
    <t>University Avenue</t>
  </si>
  <si>
    <t>Collins Ferry Rd</t>
  </si>
  <si>
    <t>Baldwin St</t>
  </si>
  <si>
    <t>University Avenue Project (wv.gov)</t>
  </si>
  <si>
    <t>Don Knotts Blvd (US 119)</t>
  </si>
  <si>
    <t>Turn lanes; Alignment</t>
  </si>
  <si>
    <t>HSIP0671006D
NFA2317025D</t>
  </si>
  <si>
    <t>Point Marion Rd (US 119)</t>
  </si>
  <si>
    <t>VAN VOORHIS RD widening</t>
  </si>
  <si>
    <t>West Run Road (CR 67/1)</t>
  </si>
  <si>
    <t>IMPROVE I/S &amp; WIDEN to standard 11' lanes with paved shoulders; Add turn lanes at intersections; Improve geometry; Consider multi-use path</t>
  </si>
  <si>
    <t>Active</t>
  </si>
  <si>
    <t>WIDEN ROAD to standard 11' lanes with paved shoulders; Add turn lanes at intersections; Improve geometry; Consider multi-use path</t>
  </si>
  <si>
    <t>IMPROVE I/S &amp; WIDEN to standard 11' lanes, with paved shoulders; Improve intersections; construct sidewalks; provide bus stops/shelters</t>
  </si>
  <si>
    <t>WIDEN ROADWAY 4-lanes to add 1-lane NB; improve sidewalks; realign Campus Dr intersection</t>
  </si>
  <si>
    <t>NFA2617006
STP0059007D</t>
  </si>
  <si>
    <t>U331059000</t>
  </si>
  <si>
    <t>Active; CE signed</t>
  </si>
  <si>
    <t>+1 lane SB</t>
  </si>
  <si>
    <t>WIDEN, DRAINAGE, ADD SIDEWALKS, curb/gutter, retaining wall; bridge replacement; Bus stops and bus only lane SB priority</t>
  </si>
  <si>
    <t>Van Voorhis Road (CR 59) Project (wv.gov)</t>
  </si>
  <si>
    <t>Greenbag Road Improvement Project (wv.gov)</t>
  </si>
  <si>
    <t>West Run Road Project (wv.gov)</t>
  </si>
  <si>
    <t>Maintenance and Bridge</t>
  </si>
  <si>
    <t>Boyers Rd</t>
  </si>
  <si>
    <t>Patteson / Van Voorhis</t>
  </si>
  <si>
    <t>Spruce St</t>
  </si>
  <si>
    <t>Cleveland Ave</t>
  </si>
  <si>
    <t>River Rd</t>
  </si>
  <si>
    <t>Fairmont Rd</t>
  </si>
  <si>
    <t>Mon River Trail</t>
  </si>
  <si>
    <t>Shopping Center</t>
  </si>
  <si>
    <t>STAR CITY I/C IMPROVEMENTS (GO BOND 3)</t>
  </si>
  <si>
    <t>RECONSTRUCT I/C exit 155 Chaplin Rd, upgrade existing interchange</t>
  </si>
  <si>
    <t>Chestnut Ridge Rd (WV 705) / Burroughs St</t>
  </si>
  <si>
    <t>WIDEN RAMP, PARKING LOT, SDWKS, DRAINS. North of Blue Horizon Dr</t>
  </si>
  <si>
    <t>CONSTRUCT TRAIL connection to shopping center - Caperton Trail</t>
  </si>
  <si>
    <t>Connect adjacent trails</t>
  </si>
  <si>
    <t>US 119 / Don Knotts Blvd</t>
  </si>
  <si>
    <t>Deckers Creek Rd</t>
  </si>
  <si>
    <t>WV 705 / Chestnut Ridge Rd</t>
  </si>
  <si>
    <t>West Run Road</t>
  </si>
  <si>
    <t>US 119</t>
  </si>
  <si>
    <t>+1 lane NB
Turn lanes at Campus Drive intersection</t>
  </si>
  <si>
    <t>Need additional info from WVDOH; private developer</t>
  </si>
  <si>
    <t>Preferred alternative: two roundabouts, Kingwood Pike, Mississippi Street</t>
  </si>
  <si>
    <t>Two roundabout intersection improvements</t>
  </si>
  <si>
    <t>Traffic signal planned at Point Marion</t>
  </si>
  <si>
    <t>Intersection improvement - signal</t>
  </si>
  <si>
    <t>Lanes</t>
  </si>
  <si>
    <t>TYPE</t>
  </si>
  <si>
    <t>Issue</t>
  </si>
  <si>
    <t>Safety</t>
  </si>
  <si>
    <t>N</t>
  </si>
  <si>
    <t>Capacity</t>
  </si>
  <si>
    <t>Access Management</t>
  </si>
  <si>
    <t>University-Collins Ferry</t>
  </si>
  <si>
    <t>M17002T</t>
  </si>
  <si>
    <t>Easton Hill-Point Marion</t>
  </si>
  <si>
    <t>M17003T</t>
  </si>
  <si>
    <t>Mileground-Harman Run</t>
  </si>
  <si>
    <t>M17004T</t>
  </si>
  <si>
    <t>Beechurst-Campus</t>
  </si>
  <si>
    <t>M17005T</t>
  </si>
  <si>
    <t>Greenbag-WV7</t>
  </si>
  <si>
    <t>Greenbag-Kingwood Pike</t>
  </si>
  <si>
    <t>M17024T</t>
  </si>
  <si>
    <t>High-Fayette</t>
  </si>
  <si>
    <t>M17026T</t>
  </si>
  <si>
    <t>University-Campus</t>
  </si>
  <si>
    <t>M17010T</t>
  </si>
  <si>
    <t>WV705-Christy</t>
  </si>
  <si>
    <t>M17014T</t>
  </si>
  <si>
    <t>Patteson-Laurel</t>
  </si>
  <si>
    <t>M17013T</t>
  </si>
  <si>
    <t>West Run-Stewartstown</t>
  </si>
  <si>
    <t>M17016T</t>
  </si>
  <si>
    <t>M17019T</t>
  </si>
  <si>
    <t>Point Marion-West Run</t>
  </si>
  <si>
    <t>Hartman Run-Airport Blvd</t>
  </si>
  <si>
    <t>M17022T</t>
  </si>
  <si>
    <t>Patteson-Morrill</t>
  </si>
  <si>
    <t>M17001T</t>
  </si>
  <si>
    <t>Mon Blvd-Evansdale</t>
  </si>
  <si>
    <t>M17033T</t>
  </si>
  <si>
    <t>University-Foundary</t>
  </si>
  <si>
    <t>M17038T</t>
  </si>
  <si>
    <t>Priority Safety Improvement</t>
  </si>
  <si>
    <t>Pedestrian</t>
  </si>
  <si>
    <t>Bridge improvements</t>
  </si>
  <si>
    <t>TIP#17</t>
  </si>
  <si>
    <t>Above projects are not found on the latest TIP list (Oct2021), therefore we should drop them.</t>
  </si>
  <si>
    <t>Below projects were within previous MTP, however, are not associated with current TIP projects, therefore duplicates are not needed</t>
  </si>
  <si>
    <t>FHA</t>
  </si>
  <si>
    <t>Widen and improve existing</t>
  </si>
  <si>
    <t>TIP#18</t>
  </si>
  <si>
    <t>Repair slide</t>
  </si>
  <si>
    <t>TIP#16</t>
  </si>
  <si>
    <t>Beechurst Ave</t>
  </si>
  <si>
    <t>TIP#15</t>
  </si>
  <si>
    <t>Business District - West of Granville</t>
  </si>
  <si>
    <t>New</t>
  </si>
  <si>
    <t>New roadway connection</t>
  </si>
  <si>
    <t>M17005S</t>
  </si>
  <si>
    <t>SubArea</t>
  </si>
  <si>
    <t>High</t>
  </si>
  <si>
    <t>University</t>
  </si>
  <si>
    <t>Beechurst</t>
  </si>
  <si>
    <t>Protzman</t>
  </si>
  <si>
    <t>MonBlvd</t>
  </si>
  <si>
    <t>Airport Access</t>
  </si>
  <si>
    <t>WV 705</t>
  </si>
  <si>
    <t>From_Road</t>
  </si>
  <si>
    <t>To_Road</t>
  </si>
  <si>
    <t>Earl Core Road (WV 7) - Northern Section Improvements</t>
  </si>
  <si>
    <t>Point Marion Rd</t>
  </si>
  <si>
    <t>I-68 Interchange (SB ramps)</t>
  </si>
  <si>
    <t>Medical Center Dr / Northwestern Ave</t>
  </si>
  <si>
    <t>Ira Errett Rodgers Dr</t>
  </si>
  <si>
    <t>I-79 Interchange</t>
  </si>
  <si>
    <t>Stone Creek</t>
  </si>
  <si>
    <t>Route_ID</t>
  </si>
  <si>
    <t>Map_ID</t>
  </si>
  <si>
    <t>WV218</t>
  </si>
  <si>
    <r>
      <rPr>
        <sz val="10"/>
        <rFont val="Calibri"/>
        <family val="2"/>
        <scheme val="minor"/>
      </rPr>
      <t>MORRIS BUILDERS BR
+1</t>
    </r>
  </si>
  <si>
    <r>
      <rPr>
        <sz val="10"/>
        <rFont val="Calibri"/>
        <family val="2"/>
        <scheme val="minor"/>
      </rPr>
      <t>STBG-
OFF</t>
    </r>
  </si>
  <si>
    <r>
      <rPr>
        <sz val="10"/>
        <rFont val="Calibri"/>
        <family val="2"/>
        <scheme val="minor"/>
      </rPr>
      <t>FY 23 SF BR INSPECT -
D4</t>
    </r>
  </si>
  <si>
    <r>
      <rPr>
        <sz val="10"/>
        <rFont val="Calibri"/>
        <family val="2"/>
        <scheme val="minor"/>
      </rPr>
      <t>FY 24 SF BR INSPECT -
D4</t>
    </r>
  </si>
  <si>
    <r>
      <rPr>
        <sz val="10"/>
        <rFont val="Calibri"/>
        <family val="2"/>
        <scheme val="minor"/>
      </rPr>
      <t>FY 25 SF BR INSPECT -
D4</t>
    </r>
  </si>
  <si>
    <t>I-68</t>
  </si>
  <si>
    <t>US 19</t>
  </si>
  <si>
    <t>Lower Booth Rd</t>
  </si>
  <si>
    <t>Additional Maintenance Projects Received - Separate from TIP list</t>
  </si>
  <si>
    <t>WEST RUN ROAD - Eastern</t>
  </si>
  <si>
    <t>REPLACE 4 BR -
DESIGN/BUILD</t>
  </si>
  <si>
    <t>REHAB BRS -
DESIGN/BUILD</t>
  </si>
  <si>
    <t>NOTE</t>
  </si>
  <si>
    <t>Spruce-Pleasant</t>
  </si>
  <si>
    <t>Spruce-Walnut</t>
  </si>
  <si>
    <t>High-Walnut</t>
  </si>
  <si>
    <t>University-Beechurst</t>
  </si>
  <si>
    <t>High-Willey</t>
  </si>
  <si>
    <t>Richwood-North Willey</t>
  </si>
  <si>
    <t>University-Prospect</t>
  </si>
  <si>
    <t>Stewart-Protzman</t>
  </si>
  <si>
    <t>WV705-Stewartstown</t>
  </si>
  <si>
    <t>Van Voorhis-West Run</t>
  </si>
  <si>
    <t>Patteson-MonBlvd</t>
  </si>
  <si>
    <t>Point Marion-Stewartstown</t>
  </si>
  <si>
    <t>Hartman Run-Airport Access</t>
  </si>
  <si>
    <t>Cheat-Old Cheat</t>
  </si>
  <si>
    <t>Cheat-Tyrone Avery</t>
  </si>
  <si>
    <t>Tyrone-Tyrone Avery</t>
  </si>
  <si>
    <t>WV100-Fort Martin</t>
  </si>
  <si>
    <t>University-Walnut</t>
  </si>
  <si>
    <t>Coordinate with Van Voorhis Rd project</t>
  </si>
  <si>
    <t>Length_Feet</t>
  </si>
  <si>
    <t>Alternative</t>
  </si>
  <si>
    <t>Lanes - Existing</t>
  </si>
  <si>
    <t>Lanes - Proposed</t>
  </si>
  <si>
    <t>Model deficiency</t>
  </si>
  <si>
    <t>Dependent</t>
  </si>
  <si>
    <t>Y</t>
  </si>
  <si>
    <t>Widen near intersections</t>
  </si>
  <si>
    <t>Greenbag Rd</t>
  </si>
  <si>
    <t>Grant Ave</t>
  </si>
  <si>
    <t>WV 7</t>
  </si>
  <si>
    <t>WV 100</t>
  </si>
  <si>
    <t>Westover Bridge</t>
  </si>
  <si>
    <t>White Park</t>
  </si>
  <si>
    <t>Tied to TIP - Exit 155 project</t>
  </si>
  <si>
    <t>Car</t>
  </si>
  <si>
    <t>Walk</t>
  </si>
  <si>
    <t>Bike</t>
  </si>
  <si>
    <t>T200801C</t>
  </si>
  <si>
    <t>T200802C</t>
  </si>
  <si>
    <t>CHEAT LAKE - COOPERS ROCK</t>
  </si>
  <si>
    <t>Walnut St</t>
  </si>
  <si>
    <t>Deckers Creek Blvd</t>
  </si>
  <si>
    <t>Exit 10 - WV 43</t>
  </si>
  <si>
    <t>MPO Boundary</t>
  </si>
  <si>
    <t>Cheat Lake</t>
  </si>
  <si>
    <t>Lockside Rd</t>
  </si>
  <si>
    <t>Monongahela River</t>
  </si>
  <si>
    <t>Price St</t>
  </si>
  <si>
    <t>Charles Ave</t>
  </si>
  <si>
    <t>Exit 7 - Cheat Rd</t>
  </si>
  <si>
    <t>Exit 152 - Fairmont Rd (US 19)</t>
  </si>
  <si>
    <t>Exit 146 - Goshen Rd (WV 77)</t>
  </si>
  <si>
    <t>EVERETTVILLE BRIDGE</t>
  </si>
  <si>
    <t>River Rd (WV 45)</t>
  </si>
  <si>
    <t>Resurface project too</t>
  </si>
  <si>
    <t>Developer guiding design options</t>
  </si>
  <si>
    <t>Mon Blvd (US 19)</t>
  </si>
  <si>
    <t>I-79 SB Exit 155</t>
  </si>
  <si>
    <t>Mileground Rd</t>
  </si>
  <si>
    <t>INSTALL TRAVEL LANES; SIGNAL</t>
  </si>
  <si>
    <t>Dunkard Ave (WV 100)</t>
  </si>
  <si>
    <t>Dents Run Blvd (WB 49)</t>
  </si>
  <si>
    <t>Sturgiss St</t>
  </si>
  <si>
    <t>Laurel St</t>
  </si>
  <si>
    <t>McQuain Park</t>
  </si>
  <si>
    <t>I-79 SB - Exit 158</t>
  </si>
  <si>
    <t>Earl Core Rd (WV 7)</t>
  </si>
  <si>
    <t>Brookhaven Rd (WV 7)</t>
  </si>
  <si>
    <t>Dents Run Blvd (WV 49)</t>
  </si>
  <si>
    <t>Existing Trail</t>
  </si>
  <si>
    <t>X</t>
  </si>
  <si>
    <t>Proj_ID</t>
  </si>
  <si>
    <t>T4</t>
  </si>
  <si>
    <t>T5</t>
  </si>
  <si>
    <t>T6</t>
  </si>
  <si>
    <t>T8</t>
  </si>
  <si>
    <t>T10</t>
  </si>
  <si>
    <t>T13</t>
  </si>
  <si>
    <t>T16</t>
  </si>
  <si>
    <t>T28</t>
  </si>
  <si>
    <t>ProjID</t>
  </si>
  <si>
    <t>T12</t>
  </si>
  <si>
    <t>T29</t>
  </si>
  <si>
    <t>T11</t>
  </si>
  <si>
    <t>T25</t>
  </si>
  <si>
    <t>College Ave</t>
  </si>
  <si>
    <t>Estimated_Cost</t>
  </si>
  <si>
    <t>Source</t>
  </si>
  <si>
    <t>MTP 2017</t>
  </si>
  <si>
    <t>MTP 2022</t>
  </si>
  <si>
    <t>CO67</t>
  </si>
  <si>
    <t>Sabraton Avenue (WV 7)</t>
  </si>
  <si>
    <t>Previous MTP ID</t>
  </si>
  <si>
    <t>MTP Project Subarea</t>
  </si>
  <si>
    <t>Sort</t>
  </si>
  <si>
    <t>Monongalia Blvd</t>
  </si>
  <si>
    <t>Improve traffic capcity</t>
  </si>
  <si>
    <t>PA State Line</t>
  </si>
  <si>
    <t>Freight and bike</t>
  </si>
  <si>
    <t>Highway capacity</t>
  </si>
  <si>
    <t>Exit 153</t>
  </si>
  <si>
    <t>West Run Rd</t>
  </si>
  <si>
    <t>Boyers Ave</t>
  </si>
  <si>
    <t>Fayette St</t>
  </si>
  <si>
    <t>Multimodal</t>
  </si>
  <si>
    <t>Cheat Rd/Old Cheat Rd</t>
  </si>
  <si>
    <t>Bicycle connection</t>
  </si>
  <si>
    <t>Capacity and Multimodal</t>
  </si>
  <si>
    <t>High St</t>
  </si>
  <si>
    <t>Sidewalks</t>
  </si>
  <si>
    <t>Deckers Creek Bvd</t>
  </si>
  <si>
    <t>I-68 Interchange</t>
  </si>
  <si>
    <t>I-68 interchange</t>
  </si>
  <si>
    <t>Tyrone Rd</t>
  </si>
  <si>
    <t>End of Trail</t>
  </si>
  <si>
    <t>Evansdale Campus</t>
  </si>
  <si>
    <t>Downtown Campus</t>
  </si>
  <si>
    <t>Riverview Dr</t>
  </si>
  <si>
    <t>Capterton Trail</t>
  </si>
  <si>
    <t>4H Camp / Walmart</t>
  </si>
  <si>
    <t>University Health Sciences</t>
  </si>
  <si>
    <t>Mon General Hospital</t>
  </si>
  <si>
    <t>P&amp;R Lot</t>
  </si>
  <si>
    <t>Glenmark Centre</t>
  </si>
  <si>
    <t>Hartman Run Rd</t>
  </si>
  <si>
    <t>WV 705/ Mileground Rd</t>
  </si>
  <si>
    <t>East of Airport</t>
  </si>
  <si>
    <t>WV 7 in Sabraton</t>
  </si>
  <si>
    <t>Morgantown CBD</t>
  </si>
  <si>
    <t>CO73</t>
  </si>
  <si>
    <t>Goshen Rd (CO77)</t>
  </si>
  <si>
    <t>T1</t>
  </si>
  <si>
    <t>T18</t>
  </si>
  <si>
    <t>T2</t>
  </si>
  <si>
    <t>T7</t>
  </si>
  <si>
    <t>T19</t>
  </si>
  <si>
    <t>T20</t>
  </si>
  <si>
    <t>T24</t>
  </si>
  <si>
    <t>T27</t>
  </si>
  <si>
    <t>T9</t>
  </si>
  <si>
    <t>T14</t>
  </si>
  <si>
    <t>T15</t>
  </si>
  <si>
    <t>T17</t>
  </si>
  <si>
    <t>T21</t>
  </si>
  <si>
    <t>T22</t>
  </si>
  <si>
    <t>T23</t>
  </si>
  <si>
    <t>T26</t>
  </si>
  <si>
    <t>T30</t>
  </si>
  <si>
    <t>T31</t>
  </si>
  <si>
    <t>M45</t>
  </si>
  <si>
    <t>M46</t>
  </si>
  <si>
    <t>M47</t>
  </si>
  <si>
    <t>M48</t>
  </si>
  <si>
    <t>M49</t>
  </si>
  <si>
    <t>M50</t>
  </si>
  <si>
    <t>M51</t>
  </si>
  <si>
    <t>M52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</si>
  <si>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</si>
  <si>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</si>
  <si>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</si>
  <si>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</si>
  <si>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</si>
  <si>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</si>
  <si>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</si>
  <si>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</si>
  <si>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</si>
  <si>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</si>
  <si>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</si>
  <si>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M67</t>
  </si>
  <si>
    <t>M68</t>
  </si>
  <si>
    <t>M69</t>
  </si>
  <si>
    <t>M70</t>
  </si>
  <si>
    <t>M71</t>
  </si>
  <si>
    <t>M72</t>
  </si>
  <si>
    <t>M73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</si>
  <si>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</si>
  <si>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</si>
  <si>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</si>
  <si>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</si>
  <si>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</si>
  <si>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</si>
  <si>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</si>
  <si>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</si>
  <si>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</si>
  <si>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C1</t>
  </si>
  <si>
    <t>C3</t>
  </si>
  <si>
    <t>C4</t>
  </si>
  <si>
    <t>C5</t>
  </si>
  <si>
    <t>C7</t>
  </si>
  <si>
    <t>C8</t>
  </si>
  <si>
    <t>C9</t>
  </si>
  <si>
    <t>C10</t>
  </si>
  <si>
    <t>C11</t>
  </si>
  <si>
    <t>M114</t>
  </si>
  <si>
    <t>M115</t>
  </si>
  <si>
    <t>M116</t>
  </si>
  <si>
    <t>M117</t>
  </si>
  <si>
    <t>M118</t>
  </si>
  <si>
    <t>M119</t>
  </si>
  <si>
    <t>M120</t>
  </si>
  <si>
    <t>M121</t>
  </si>
  <si>
    <t>Exit 152</t>
  </si>
  <si>
    <t>Exit 155</t>
  </si>
  <si>
    <t>between Exit 148-152</t>
  </si>
  <si>
    <t>Scotts Run Rd</t>
  </si>
  <si>
    <t>Chaplin Rd (US 19)</t>
  </si>
  <si>
    <t>JD Anderson Dr</t>
  </si>
  <si>
    <t>M68b</t>
  </si>
  <si>
    <t>WV 67</t>
  </si>
  <si>
    <t>Consider 3L</t>
  </si>
  <si>
    <t>2 / 3</t>
  </si>
  <si>
    <t>Add_Lanes</t>
  </si>
  <si>
    <t>4 / 6</t>
  </si>
  <si>
    <t>5 / 7</t>
  </si>
  <si>
    <t>Bike-Ped</t>
  </si>
  <si>
    <t>Stewart St Improvements</t>
  </si>
  <si>
    <t>Van Voorhis Rd WV 705</t>
  </si>
  <si>
    <t>Riddle Ave/Pineview Dr Widening</t>
  </si>
  <si>
    <t>Riddle Ave/Pineview Dr Improvements</t>
  </si>
  <si>
    <t>CO73/12</t>
  </si>
  <si>
    <t>Willey St/Mileground Rd Improvements</t>
  </si>
  <si>
    <t>Hampton Ave</t>
  </si>
  <si>
    <t>Mileground Rd Widening - Phase II</t>
  </si>
  <si>
    <t>Tie into existing 4L section</t>
  </si>
  <si>
    <t>Dug Hill Road Improvements</t>
  </si>
  <si>
    <t>St Clair Hill Rd Improvements</t>
  </si>
  <si>
    <t>Blue Horizon Dr Widening</t>
  </si>
  <si>
    <t>Sabraton Ave</t>
  </si>
  <si>
    <t>Snider Hill Rd</t>
  </si>
  <si>
    <t>Improve to WVDOH standards</t>
  </si>
  <si>
    <t>M52b</t>
  </si>
  <si>
    <t>M49b</t>
  </si>
  <si>
    <t>M73b</t>
  </si>
  <si>
    <t>Willowdale Rd Widening</t>
  </si>
  <si>
    <t>Access Management needed</t>
  </si>
  <si>
    <t>New Westover Bridge Connection</t>
  </si>
  <si>
    <t>West St</t>
  </si>
  <si>
    <t>C14</t>
  </si>
  <si>
    <t>Brige</t>
  </si>
  <si>
    <t>M69b</t>
  </si>
  <si>
    <t>S Pierpont Rd</t>
  </si>
  <si>
    <t>Smithtown Rd (WV73)</t>
  </si>
  <si>
    <t>Don Knotts Blvd (US 19) Improvements</t>
  </si>
  <si>
    <t>New Interstate Highway</t>
  </si>
  <si>
    <t>Capacity Improvement</t>
  </si>
  <si>
    <t>Access</t>
  </si>
  <si>
    <t>Traffic Operations</t>
  </si>
  <si>
    <t>Don Knotts Blvd (US 19)</t>
  </si>
  <si>
    <t>Monongahela Blvd (US 19)</t>
  </si>
  <si>
    <t>Foundry St / Sturgiss St</t>
  </si>
  <si>
    <t>Pleasant St</t>
  </si>
  <si>
    <t>Morrill Way</t>
  </si>
  <si>
    <t>Falling Run Rd</t>
  </si>
  <si>
    <t>Don Knotts Blvd-Foundary St</t>
  </si>
  <si>
    <t>Monongahela Blvd-Evansdale Dr</t>
  </si>
  <si>
    <t>Evansdale Dr</t>
  </si>
  <si>
    <t>Patteson Dr-Morrill Way</t>
  </si>
  <si>
    <t>Patteson Dr-University Ave-Van Voorhis Rd</t>
  </si>
  <si>
    <t>University Ave-College Ave</t>
  </si>
  <si>
    <t>University Ave-Falling Run Rd</t>
  </si>
  <si>
    <t>Project ID</t>
  </si>
  <si>
    <t>MMMPO - DRAFT Projects List for Review</t>
  </si>
  <si>
    <t>TIP Roadway Projects</t>
  </si>
  <si>
    <t>MTP INTERSECTION PROJECTS</t>
  </si>
  <si>
    <t>MTP CORRIDOR PROJECTS</t>
  </si>
  <si>
    <t>Pedestrian Safety</t>
  </si>
  <si>
    <t>FY Deficiency</t>
  </si>
  <si>
    <t>WV-705 Corridor (Patteson/ Van Voorhis/ Chestnut Ridge)</t>
  </si>
  <si>
    <t>REHAB BRIDGES</t>
  </si>
  <si>
    <t>REPLACE 4 BR - D/B</t>
  </si>
  <si>
    <t>WEST RUN ROAD (GO BOND 4) - Western</t>
  </si>
  <si>
    <t>MTP CONNECTION / AREA PROJECTS</t>
  </si>
  <si>
    <t>Estimated Cost</t>
  </si>
  <si>
    <t>Mountain Valley Drive</t>
  </si>
  <si>
    <t>Lazelle Union Rd</t>
  </si>
  <si>
    <t>Ackerman / Mountain Valley Drive Improvements</t>
  </si>
  <si>
    <t>Scenic View Drive</t>
  </si>
  <si>
    <t>Dependent on C15 project - new alignment</t>
  </si>
  <si>
    <t>VanGilder Ave / Protzman / Stewart St</t>
  </si>
  <si>
    <t>Mileground Rd / Robinson St</t>
  </si>
  <si>
    <t>New Connection-VanGilder to Mileground</t>
  </si>
  <si>
    <t>Industrial Park Dr</t>
  </si>
  <si>
    <t>Trail Connection-Woodland Trail to Dorsey's Knob</t>
  </si>
  <si>
    <t>Woodland Trail</t>
  </si>
  <si>
    <t>Dorsey's Knob Park</t>
  </si>
  <si>
    <t>Trail connection</t>
  </si>
  <si>
    <t>Trail Connection-Southern Greenbelt Trail</t>
  </si>
  <si>
    <t>Learning Trail Loop</t>
  </si>
  <si>
    <t>Deckers Creek</t>
  </si>
  <si>
    <t>Trail Connection-Northern Greenbelt Trail</t>
  </si>
  <si>
    <t>Falling Run Trail</t>
  </si>
  <si>
    <t>Caperton Trail</t>
  </si>
  <si>
    <t>Multimodal Improvements</t>
  </si>
  <si>
    <t>Modify to Urban Standard</t>
  </si>
  <si>
    <t>Roadway Widening (add lanes)</t>
  </si>
  <si>
    <t>Safety / Intersection</t>
  </si>
  <si>
    <t>Potential Study</t>
  </si>
  <si>
    <t>Potential Roadway Connection</t>
  </si>
  <si>
    <t>Potential PRT Connection</t>
  </si>
  <si>
    <t>Downtown Morgantown Two-way Street Study</t>
  </si>
  <si>
    <t>Downtown Morgantown</t>
  </si>
  <si>
    <t>TIP Roadway Projects - COMMITTED</t>
  </si>
  <si>
    <t>MTP INTERSECTION PROJECTS - Points</t>
  </si>
  <si>
    <t>MTP CORRIDOR PROJECTS - Lines</t>
  </si>
  <si>
    <t>MTP CONNECTION / AREA PROJECTS - Polygons</t>
  </si>
  <si>
    <t>Welcome Center</t>
  </si>
  <si>
    <t>Trail Improvement</t>
  </si>
  <si>
    <t xml:space="preserve">Bicycle connrector "President's Trail" </t>
  </si>
  <si>
    <t>Mississippi Street</t>
  </si>
  <si>
    <t>Lucky Lane</t>
  </si>
  <si>
    <t>BRT System - University Avenue Complete Streets</t>
  </si>
  <si>
    <t>Bakers Ridge Rd</t>
  </si>
  <si>
    <t>Add center turn lane, and sidewalks</t>
  </si>
  <si>
    <t>drop this project</t>
  </si>
  <si>
    <t>Widen or Access management evaluation</t>
  </si>
  <si>
    <t>drop this project per client</t>
  </si>
  <si>
    <t>Fairmont Rd US 19 Improvements</t>
  </si>
  <si>
    <t>Sugar Grove Road</t>
  </si>
  <si>
    <t>I-79 Interchange Exit 152</t>
  </si>
  <si>
    <t>Future Need</t>
  </si>
  <si>
    <t>Anticipating future development</t>
  </si>
  <si>
    <t>Cheat Lake Tail - Morgan Run</t>
  </si>
  <si>
    <t>Darnell Hollow Road</t>
  </si>
  <si>
    <t>Follow Morgans Run creek</t>
  </si>
  <si>
    <t>Trail Connection-Cheat Lake Northern</t>
  </si>
  <si>
    <t>Trail Connection-Cheat Lake Southern</t>
  </si>
  <si>
    <t>Cheat Lake Rail-Tail</t>
  </si>
  <si>
    <t>Coopers Rock Park - Mon Chateau Trail</t>
  </si>
  <si>
    <t>Follow Greystone-Sunset Beach-Cheat-Mont Chateau Roads</t>
  </si>
  <si>
    <t>Earl Core Rd (WV 7) Widening or Access Management</t>
  </si>
  <si>
    <t>Brockway Rodgers/Powell Ave (WV 7) Improvements</t>
  </si>
  <si>
    <t>Mont Chateau Rd</t>
  </si>
  <si>
    <t>Tyrone Rd &amp; Cheat Rd Improvements</t>
  </si>
  <si>
    <t>Improve to WVDOH standards - connect trails</t>
  </si>
  <si>
    <t>Dupont Road Improvements</t>
  </si>
  <si>
    <t>River Road</t>
  </si>
  <si>
    <t>Fairmont Rd (US 19)</t>
  </si>
  <si>
    <t>Widen to WVDOH standards; include sidewalks to Dupont Heights</t>
  </si>
  <si>
    <t>CO49</t>
  </si>
  <si>
    <t>Drainage</t>
  </si>
  <si>
    <t>Dents Run Blvd Improvements</t>
  </si>
  <si>
    <t>Improve drainage, ped, bike, and shoulder improvements</t>
  </si>
  <si>
    <t>Chaplin Rd Multimodal Improvements</t>
  </si>
  <si>
    <t>Mylan Park</t>
  </si>
  <si>
    <t>Sidepath along south/east side</t>
  </si>
  <si>
    <t>C2</t>
  </si>
  <si>
    <t>Beechurst Avenue Study</t>
  </si>
  <si>
    <t>8th Street</t>
  </si>
  <si>
    <t>Designate as WV 7 Alternative Truck Route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</si>
  <si>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</si>
  <si>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</si>
  <si>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</si>
  <si>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</si>
  <si>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</si>
  <si>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</si>
  <si>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</si>
  <si>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</si>
  <si>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</si>
  <si>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</si>
  <si>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</si>
  <si>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</si>
  <si>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</si>
  <si>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</si>
  <si>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</si>
  <si>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</si>
  <si>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</si>
  <si>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</si>
  <si>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</si>
  <si>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</si>
  <si>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</si>
  <si>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</si>
  <si>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</si>
  <si>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</si>
  <si>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</si>
  <si>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</si>
  <si>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</si>
  <si>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</si>
  <si>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C6</t>
  </si>
  <si>
    <t>New Connection-Extension of Airport Industrial Road to WV-7 in Sabraton</t>
  </si>
  <si>
    <t>CO55</t>
  </si>
  <si>
    <t>US19</t>
  </si>
  <si>
    <t>CO67/1</t>
  </si>
  <si>
    <t>CO59</t>
  </si>
  <si>
    <t>Potential Trail Connection</t>
  </si>
  <si>
    <t>Realign near Snider Street portion</t>
  </si>
  <si>
    <t>3 locations</t>
  </si>
  <si>
    <t>Transit Study</t>
  </si>
  <si>
    <t>MLT Microtransit Pilot (Uber-Mon) - Southeast</t>
  </si>
  <si>
    <t>MLT Route Simplification and Consolidation</t>
  </si>
  <si>
    <t>BRT</t>
  </si>
  <si>
    <t>PRT</t>
  </si>
  <si>
    <t>MLT Service Strategy Modification</t>
  </si>
  <si>
    <t>T1b</t>
  </si>
  <si>
    <t>Granville / Westover</t>
  </si>
  <si>
    <t>MLT Fare System Modification</t>
  </si>
  <si>
    <t>Map Categories</t>
  </si>
  <si>
    <t>Table Categories</t>
  </si>
  <si>
    <t>Pilot Study</t>
  </si>
  <si>
    <t>Transit Operations</t>
  </si>
  <si>
    <t>Transit Service</t>
  </si>
  <si>
    <t>BRT Corridor</t>
  </si>
  <si>
    <t>PRT Connection</t>
  </si>
  <si>
    <t>MLTA Microtransit Expansion (Uber-Mon) - Western</t>
  </si>
  <si>
    <t>T5 / M72</t>
  </si>
  <si>
    <t>T5 / M49</t>
  </si>
  <si>
    <t>T3 / C10</t>
  </si>
  <si>
    <t>T3 / C11</t>
  </si>
  <si>
    <t>Shape</t>
  </si>
  <si>
    <t>Feet</t>
  </si>
  <si>
    <t>SAFETY</t>
  </si>
  <si>
    <t>One-way streets, poor quality facilities</t>
  </si>
  <si>
    <t>One-way streets, signal retiming</t>
  </si>
  <si>
    <t>Offset intersection, poor quality facilities</t>
  </si>
  <si>
    <t>Poor geometry, no crosswalks</t>
  </si>
  <si>
    <t>No pedestrian facilities</t>
  </si>
  <si>
    <t>Five-legged intersection, with no pedestrian facilities</t>
  </si>
  <si>
    <t>Poor geometry with no pedestrian facilities</t>
  </si>
  <si>
    <t>High volume intersection with adequate facilities</t>
  </si>
  <si>
    <t>High priority; Five-legged intersection with no facilities</t>
  </si>
  <si>
    <t>Steep slope with no pedestrian facilities</t>
  </si>
  <si>
    <t>Poor geometry with narrow bridge</t>
  </si>
  <si>
    <t>Grafton-Smithtown-Don Knotts</t>
  </si>
  <si>
    <t>Steep slope with PRT overhead</t>
  </si>
  <si>
    <t>Adequate facilities</t>
  </si>
  <si>
    <t>Reliability</t>
  </si>
  <si>
    <t>Mobility Choice</t>
  </si>
  <si>
    <t>Local Priority</t>
  </si>
  <si>
    <t>Equity &amp; Environmental Justice</t>
  </si>
  <si>
    <t>Consistency</t>
  </si>
  <si>
    <t>Evaluation Criteria</t>
  </si>
  <si>
    <t>%</t>
  </si>
  <si>
    <t>Reliabilty</t>
  </si>
  <si>
    <t>V/C segments</t>
  </si>
  <si>
    <t>Security risk bridges</t>
  </si>
  <si>
    <t>Connects with existing trail</t>
  </si>
  <si>
    <t>Near PRT stations</t>
  </si>
  <si>
    <t>Equity &amp; EJ</t>
  </si>
  <si>
    <t>Transit Propensity areas</t>
  </si>
  <si>
    <t>MTP 2013</t>
  </si>
  <si>
    <t>Current planning effort</t>
  </si>
  <si>
    <t>Interactive Map point (Safety)</t>
  </si>
  <si>
    <t>Interactive Map point (Intersection)</t>
  </si>
  <si>
    <t>Interactive Map point (Barrier)</t>
  </si>
  <si>
    <t>Interactive Map point (Maintenance)</t>
  </si>
  <si>
    <t>Interactive Map point (Traffic)</t>
  </si>
  <si>
    <t>Serves Transit Hub</t>
  </si>
  <si>
    <t>Serves Employment Job Hub</t>
  </si>
  <si>
    <t>Consistency with local plans</t>
  </si>
  <si>
    <t>HEPGIS fatal crashes (2017-2019)</t>
  </si>
  <si>
    <t>NHS road?</t>
  </si>
  <si>
    <t>PM3 segments LOTTR</t>
  </si>
  <si>
    <t>PM3 pavement</t>
  </si>
  <si>
    <t>Minority</t>
  </si>
  <si>
    <t>Seniors</t>
  </si>
  <si>
    <t>Children</t>
  </si>
  <si>
    <t>LEP</t>
  </si>
  <si>
    <t>Zero Car HH</t>
  </si>
  <si>
    <t>Poverty</t>
  </si>
  <si>
    <t>Commute to work</t>
  </si>
  <si>
    <t>Education</t>
  </si>
  <si>
    <t>2019 Bike/Ped Plan</t>
  </si>
  <si>
    <t>AC or public feedback</t>
  </si>
  <si>
    <t>GIS process</t>
  </si>
  <si>
    <t>Manual process</t>
  </si>
  <si>
    <t>Crash Severity Score</t>
  </si>
  <si>
    <t>S1</t>
  </si>
  <si>
    <t>S2</t>
  </si>
  <si>
    <t>S3</t>
  </si>
  <si>
    <t>Scores</t>
  </si>
  <si>
    <t>1-10</t>
  </si>
  <si>
    <t>1-7000</t>
  </si>
  <si>
    <t>Normalized</t>
  </si>
  <si>
    <t>Excel lookup table on roadway name</t>
  </si>
  <si>
    <t>R1</t>
  </si>
  <si>
    <t>R2</t>
  </si>
  <si>
    <t>R3</t>
  </si>
  <si>
    <t>MC1</t>
  </si>
  <si>
    <t>MC2</t>
  </si>
  <si>
    <t>MC3</t>
  </si>
  <si>
    <t>MC4</t>
  </si>
  <si>
    <t>MC5</t>
  </si>
  <si>
    <t>Included in previous MTP plan</t>
  </si>
  <si>
    <t>L1</t>
  </si>
  <si>
    <t>L2</t>
  </si>
  <si>
    <t>L3</t>
  </si>
  <si>
    <t>E1</t>
  </si>
  <si>
    <t>E2</t>
  </si>
  <si>
    <t>E3</t>
  </si>
  <si>
    <t>RELIABILITY</t>
  </si>
  <si>
    <t>MAINTENANCE</t>
  </si>
  <si>
    <t>MODE CHIOCE</t>
  </si>
  <si>
    <t>LOCAL PRIORITY</t>
  </si>
  <si>
    <t>EQUITY &amp; EJ</t>
  </si>
  <si>
    <t>CONSISTENCY</t>
  </si>
  <si>
    <t>0-2.0</t>
  </si>
  <si>
    <t>0-4.6</t>
  </si>
  <si>
    <t>Proximity</t>
  </si>
  <si>
    <t>*</t>
  </si>
  <si>
    <t>(5) within 400'; (10) within 200'</t>
  </si>
  <si>
    <t>RAW SCORES</t>
  </si>
  <si>
    <t>NORMALIZED SCORES</t>
  </si>
  <si>
    <t>SCORE</t>
  </si>
  <si>
    <t>RANK</t>
  </si>
  <si>
    <t>PRIORITY</t>
  </si>
  <si>
    <t>Near-Term</t>
  </si>
  <si>
    <t>Long-term</t>
  </si>
  <si>
    <t>Near-Mid-Term</t>
  </si>
  <si>
    <t>Mid-Term</t>
  </si>
  <si>
    <t>Mid-Long-Term</t>
  </si>
  <si>
    <t>Sort Order</t>
  </si>
  <si>
    <t>S</t>
  </si>
  <si>
    <t>R</t>
  </si>
  <si>
    <t>M</t>
  </si>
  <si>
    <t>MC</t>
  </si>
  <si>
    <t>LP</t>
  </si>
  <si>
    <t>E</t>
  </si>
  <si>
    <t>C</t>
  </si>
  <si>
    <t>WEIGHTED AVERAGE BY CATEGORY</t>
  </si>
  <si>
    <t>Previous MTP Tier</t>
  </si>
  <si>
    <t>Alt Funding</t>
  </si>
  <si>
    <t>C12</t>
  </si>
  <si>
    <t>C13</t>
  </si>
  <si>
    <t>Evansdale Neighborhood Safety Study</t>
  </si>
  <si>
    <t>Morgantown Waterfront Transportation Study</t>
  </si>
  <si>
    <t>Morgantown Waterfront</t>
  </si>
  <si>
    <t>Downtown</t>
  </si>
  <si>
    <t>Evansdale Neighborhood</t>
  </si>
  <si>
    <t>Unit Cost</t>
  </si>
  <si>
    <t>Corridor</t>
  </si>
  <si>
    <t>Trail Connection</t>
  </si>
  <si>
    <t>Lighting</t>
  </si>
  <si>
    <t>Sidewalk ADA</t>
  </si>
  <si>
    <t>Cost</t>
  </si>
  <si>
    <t>Unit</t>
  </si>
  <si>
    <t>Mile</t>
  </si>
  <si>
    <t>Project</t>
  </si>
  <si>
    <t>Project Type</t>
  </si>
  <si>
    <t>% Project</t>
  </si>
  <si>
    <t>20-25%</t>
  </si>
  <si>
    <t>Multi-Use Path</t>
  </si>
  <si>
    <t>MIle</t>
  </si>
  <si>
    <t>Streetscape</t>
  </si>
  <si>
    <t>Engineering Design</t>
  </si>
  <si>
    <t>Reconstruct Corridor</t>
  </si>
  <si>
    <t>Reconstruct Intersection</t>
  </si>
  <si>
    <t>ROW Acquisition</t>
  </si>
  <si>
    <t>mile</t>
  </si>
  <si>
    <t>Widen @ Intersection only</t>
  </si>
  <si>
    <t>Replace Bridge</t>
  </si>
  <si>
    <t>Estimated_Cost 2017</t>
  </si>
  <si>
    <t>Est Cost 2022</t>
  </si>
  <si>
    <t>Inflation Factor</t>
  </si>
  <si>
    <t>New 2L roadway</t>
  </si>
  <si>
    <t>PRT Extension</t>
  </si>
  <si>
    <t>New interchange exit on I-79</t>
  </si>
  <si>
    <t>Widen to add lanes</t>
  </si>
  <si>
    <t>Modify existing roadway - no new lanes</t>
  </si>
  <si>
    <t>Complete Streets redesign</t>
  </si>
  <si>
    <t>Bike Lanes</t>
  </si>
  <si>
    <t>Modify existing</t>
  </si>
  <si>
    <t>Modify Existing</t>
  </si>
  <si>
    <t>List</t>
  </si>
  <si>
    <t>MTP</t>
  </si>
  <si>
    <t>TIP</t>
  </si>
  <si>
    <t>Estimated_Cost 2022</t>
  </si>
  <si>
    <t>Cleveland TN MTP Costs</t>
  </si>
  <si>
    <t>New Roadway</t>
  </si>
  <si>
    <t>Widen Existing</t>
  </si>
  <si>
    <t>Reconstruct Existing</t>
  </si>
  <si>
    <t>KYOVA 2040 MTP</t>
  </si>
  <si>
    <t>Cost per Mile</t>
  </si>
  <si>
    <t>Widening</t>
  </si>
  <si>
    <t>2017 Est Cost</t>
  </si>
  <si>
    <t>New Location</t>
  </si>
  <si>
    <t>Project Types</t>
  </si>
  <si>
    <t>Low</t>
  </si>
  <si>
    <t>Sidewalk and ADA</t>
  </si>
  <si>
    <t>Unit Cost per Mile</t>
  </si>
  <si>
    <t>Widen @ Intersections</t>
  </si>
  <si>
    <t>Widen to Add Lanes</t>
  </si>
  <si>
    <t>Reconstruct Existing Corridor</t>
  </si>
  <si>
    <t>Access Management (&amp; Streetscape)</t>
  </si>
  <si>
    <t>TYPICAL
MTP will use</t>
  </si>
  <si>
    <t>High-Foundry</t>
  </si>
  <si>
    <t>Recently installed RRFB here</t>
  </si>
  <si>
    <t>Foundry Ave</t>
  </si>
  <si>
    <t>Visibility issue while crossing</t>
  </si>
  <si>
    <t>M49a</t>
  </si>
  <si>
    <t>M49c</t>
  </si>
  <si>
    <t>Fayette St/Beechurst Ave</t>
  </si>
  <si>
    <t>Improve multimodal facilities</t>
  </si>
  <si>
    <t>Removed from MTP list after Evaluation Scoring</t>
  </si>
  <si>
    <t>M51a</t>
  </si>
  <si>
    <t>M51b</t>
  </si>
  <si>
    <t>Mississippi St</t>
  </si>
  <si>
    <t>Patteson Dr</t>
  </si>
  <si>
    <t>Willey St</t>
  </si>
  <si>
    <t>Fort Martin Rd</t>
  </si>
  <si>
    <t>Old Cheat Rd</t>
  </si>
  <si>
    <t>Stewart St</t>
  </si>
  <si>
    <t>Richwood Ave</t>
  </si>
  <si>
    <t>Tyrone-Avery Rd</t>
  </si>
  <si>
    <t>Earl Core Rd (WV 7) - Northern Section Improvements</t>
  </si>
  <si>
    <t>Connects with Bus Route</t>
  </si>
  <si>
    <t>Fairmont Rd/Holland Ave Improvements</t>
  </si>
  <si>
    <t>Potential HOV lanes</t>
  </si>
  <si>
    <t>M122</t>
  </si>
  <si>
    <t>Realigned Campus Conector trail</t>
  </si>
  <si>
    <t>Trail Connection-Campus Connection</t>
  </si>
  <si>
    <t>Road closure and detour around Mountainlair</t>
  </si>
  <si>
    <t>Currently under design as part of Beechurst Ave corridor (TIP)</t>
  </si>
  <si>
    <t>M5 -  M17031T</t>
  </si>
  <si>
    <t>Grafton/Don Knotts Blvd</t>
  </si>
  <si>
    <t>WV705-Burroughs-Van Voorhis</t>
  </si>
  <si>
    <t>Local priority - Tier 1</t>
  </si>
  <si>
    <t>On-going local priority - Tier 1</t>
  </si>
  <si>
    <t>Local priority</t>
  </si>
  <si>
    <t>Local priority - Tier 1; Intersection</t>
  </si>
  <si>
    <t>Local safety priority - Tier 1; Intersection</t>
  </si>
  <si>
    <t>Chestnut-Walnut</t>
  </si>
  <si>
    <t>Chestnut St</t>
  </si>
  <si>
    <t>x</t>
  </si>
  <si>
    <t>One-way stop intersection, poor quality facilities</t>
  </si>
  <si>
    <t>University/Don Knotts Blvd</t>
  </si>
  <si>
    <t>Don Knotts-University-Pleasant</t>
  </si>
  <si>
    <t>M123</t>
  </si>
  <si>
    <t>Trail Connection-Collins Ferry to Mon River North Trail</t>
  </si>
  <si>
    <t>Mon River North Trail</t>
  </si>
  <si>
    <t>Parking and trail head access</t>
  </si>
  <si>
    <t>Collins Ferry Rd Multimodal Improvements</t>
  </si>
  <si>
    <t>Suncrest Elementary School</t>
  </si>
  <si>
    <t>Mon River North Trail Head</t>
  </si>
  <si>
    <t>Sidewalk/Trail connection</t>
  </si>
  <si>
    <t>Extend sidewalk further north to Trail Head and connect</t>
  </si>
  <si>
    <t>M124</t>
  </si>
  <si>
    <t>M125</t>
  </si>
  <si>
    <t>WV-705 Multiuse Path</t>
  </si>
  <si>
    <t>Don Nehlen / Mon General Dr</t>
  </si>
  <si>
    <t>Multiuse path along south side with improved crossings at signals</t>
  </si>
  <si>
    <t>Patteson Ave</t>
  </si>
  <si>
    <t>See spreadsheet for more refined cost estimates</t>
  </si>
  <si>
    <t>"MMMPO Project Cost Estimator Tool (Feb2022).xlsx"</t>
  </si>
  <si>
    <t>Tier</t>
  </si>
  <si>
    <t>Est Cost</t>
  </si>
  <si>
    <t>YOE</t>
  </si>
  <si>
    <t>Year of Expenditure Calculation</t>
  </si>
  <si>
    <t>Post-2050</t>
  </si>
  <si>
    <t>Year</t>
  </si>
  <si>
    <t>YOE Factor</t>
  </si>
  <si>
    <t>AFD</t>
  </si>
  <si>
    <t>&lt;varies&gt;</t>
  </si>
  <si>
    <t>Cumulative</t>
  </si>
  <si>
    <t>Revenue</t>
  </si>
  <si>
    <t xml:space="preserve"> TIP</t>
  </si>
  <si>
    <t>Alternative Funding Dependent Proejcts</t>
  </si>
  <si>
    <t>Cost YOE</t>
  </si>
  <si>
    <t>Lighting improvements</t>
  </si>
  <si>
    <t>Local safety priority</t>
  </si>
  <si>
    <t>ROW challenges</t>
  </si>
  <si>
    <t>Local priority - link with C3 Downtown Study</t>
  </si>
  <si>
    <t>On-going local priority - Alternative Funding</t>
  </si>
  <si>
    <t>Local priority - Intersection</t>
  </si>
  <si>
    <t>Local priority - Tier 1 - PL funds</t>
  </si>
  <si>
    <t>M74</t>
  </si>
  <si>
    <t>River Road Improvements</t>
  </si>
  <si>
    <t>CO45</t>
  </si>
  <si>
    <t>Master Graphics Road</t>
  </si>
  <si>
    <t>DuPont Rd / Industrial Park Rd</t>
  </si>
  <si>
    <t>Widen to WVDOH standards; heavy trucks expected from new Interchange</t>
  </si>
  <si>
    <t>Freight connection</t>
  </si>
  <si>
    <t>Unfunded</t>
  </si>
  <si>
    <t># Projects</t>
  </si>
  <si>
    <t>Balance</t>
  </si>
  <si>
    <t>On-going local priority</t>
  </si>
  <si>
    <t>Beechurst Avenue Access Management Improvements</t>
  </si>
  <si>
    <t>Follows Downtown study recommendations</t>
  </si>
  <si>
    <t>Series of intersection improvements, crossings, pocket medians, multiuse path, and slowing vehicle speeds</t>
  </si>
  <si>
    <t>All TIP projects included</t>
  </si>
  <si>
    <t>Should be addressed with current TIP project</t>
  </si>
  <si>
    <t>Vehicular operation and safety improvements; Reproportion to 3L without moving curb</t>
  </si>
  <si>
    <t>#</t>
  </si>
  <si>
    <t>Connection</t>
  </si>
  <si>
    <t>MTP projects</t>
  </si>
  <si>
    <t>Non-Vehicular</t>
  </si>
  <si>
    <t>Study of two-way conversion of streets and traffic signal operations; includes overlap with Grumbeins Island project and Beechurst Ave</t>
  </si>
  <si>
    <t>M110</t>
  </si>
  <si>
    <t>2/3</t>
  </si>
  <si>
    <t>Follow the Downtown study recommendations</t>
  </si>
  <si>
    <t>Beechurst Ave Access Management Improvements</t>
  </si>
  <si>
    <t>Follows Downtown Study</t>
  </si>
  <si>
    <t>old #s</t>
  </si>
  <si>
    <t>Grafton-Smithtown-Don Knotts Intersection Improvements</t>
  </si>
  <si>
    <t>Spruce-Pleasant Intersection Improvements</t>
  </si>
  <si>
    <t>Spruce-Walnut Intersection Improvements</t>
  </si>
  <si>
    <t>High-Walnut Intersection Improvements</t>
  </si>
  <si>
    <t>High-Willey Intersection Improvements</t>
  </si>
  <si>
    <t>Richwood-North Willey Intersection Improvements</t>
  </si>
  <si>
    <t>University-Prospect Intersection Improvements</t>
  </si>
  <si>
    <t>Stewart-Protzman Intersection Improvements</t>
  </si>
  <si>
    <t>WV705-Stewartstown Intersection Improvements</t>
  </si>
  <si>
    <t>WV705-Burroughs-Van Voorhis Intersection Improvements</t>
  </si>
  <si>
    <t>Van Voorhis-West Run Intersection Improvements</t>
  </si>
  <si>
    <t>Point Marion-Stewartstown Intersection Improvements</t>
  </si>
  <si>
    <t>Hartman Run-Airport Access Intersection Improvements</t>
  </si>
  <si>
    <t>Cheat-Old Cheat Intersection Improvements</t>
  </si>
  <si>
    <t>Cheat-Tyrone Avery Intersection Improvements</t>
  </si>
  <si>
    <t>Tyrone-Tyrone Avery Intersection Improvements</t>
  </si>
  <si>
    <t>WV100-Fort Martin Intersection Improvements</t>
  </si>
  <si>
    <t>University-Walnut Pedestrian Improvements</t>
  </si>
  <si>
    <t>Don Knotts-University-Pleasant Pedestrian Improvements</t>
  </si>
  <si>
    <t>Grumbeins Island Improvements</t>
  </si>
  <si>
    <t>High-Foundry Pedestrian Improvements</t>
  </si>
  <si>
    <t>Chestnut-Walnut Pedestrian Improvements</t>
  </si>
  <si>
    <t>Patteson Dr-Morrill Way Pedestrian Improvements</t>
  </si>
  <si>
    <t>Patteson Dr-University Ave-Van Voorhis Rd Pedestrian Improvements</t>
  </si>
  <si>
    <t>University Ave-College Ave Pedestrian Improvements</t>
  </si>
  <si>
    <t>Cumulative Cost</t>
  </si>
  <si>
    <t>M126</t>
  </si>
  <si>
    <t>WVU multiuse path</t>
  </si>
  <si>
    <t>Trail Connection-Caperton Trail to Evansdale Dr</t>
  </si>
  <si>
    <t>Trail Connection-Caperton Trail to Evansdale Rd</t>
  </si>
  <si>
    <t>WVU design</t>
  </si>
  <si>
    <t>WVU designing this trail</t>
  </si>
  <si>
    <t>To Road</t>
  </si>
  <si>
    <t>MTP Project Recommendations by Tier (Horizon Year)</t>
  </si>
  <si>
    <t>From Rd</t>
  </si>
  <si>
    <t>8th St</t>
  </si>
  <si>
    <t>Modify / Capacity</t>
  </si>
  <si>
    <t>Cost Factor</t>
  </si>
  <si>
    <r>
      <t xml:space="preserve">Subject to </t>
    </r>
    <r>
      <rPr>
        <i/>
        <u/>
        <sz val="9"/>
        <color theme="1"/>
        <rFont val="Calibri"/>
        <family val="2"/>
        <scheme val="minor"/>
      </rPr>
      <t>assumed</t>
    </r>
    <r>
      <rPr>
        <sz val="9"/>
        <color theme="1"/>
        <rFont val="Calibri"/>
        <family val="2"/>
        <scheme val="minor"/>
      </rPr>
      <t xml:space="preserve"> Cost Factors for YOE</t>
    </r>
  </si>
  <si>
    <t>Unfunded future project</t>
  </si>
  <si>
    <t>Assumed YOE Cost</t>
  </si>
  <si>
    <t>Total Projects</t>
  </si>
  <si>
    <t>Widen (add lanes)</t>
  </si>
  <si>
    <t>M20</t>
  </si>
  <si>
    <t>WV7-Deckers Creek-Mineral Pedestrian Improvements</t>
  </si>
  <si>
    <t>WV7</t>
  </si>
  <si>
    <t>Mineral Ave</t>
  </si>
  <si>
    <t>Poor geometry and slope</t>
  </si>
  <si>
    <t>Year of Expenditure</t>
  </si>
  <si>
    <t>WV-705 Corridor Improvements</t>
  </si>
  <si>
    <t>Monongahela Blvd</t>
  </si>
  <si>
    <t>Mon General Dr / Don Nehlen Dr</t>
  </si>
  <si>
    <t>Coordinate with M51a Greenbag Rd project</t>
  </si>
  <si>
    <t>From Road</t>
  </si>
  <si>
    <t>University Avenue Multimodal Improvements</t>
  </si>
  <si>
    <t>Pleasant Street Streetscape</t>
  </si>
  <si>
    <t>Holland Avenue Multimodal Improvements</t>
  </si>
  <si>
    <t>Dunkard Avenue Sidewalks - Phase 5</t>
  </si>
  <si>
    <t>I-79 SB Welcome Center</t>
  </si>
  <si>
    <t>Star City Trail Connector</t>
  </si>
  <si>
    <t>Star City Interchange Improvements - I-79</t>
  </si>
  <si>
    <t>Greenbag Road Improvements</t>
  </si>
  <si>
    <t>West Run Road Improvements - Western Section</t>
  </si>
  <si>
    <t>West Run Road Improvements - Eastern Section</t>
  </si>
  <si>
    <t>Morgantown Multiuse Path</t>
  </si>
  <si>
    <t>WV 100 at Dents Run Intersection Improvements</t>
  </si>
  <si>
    <t>Brookhaven Road Intersection Improvements</t>
  </si>
  <si>
    <t>Walnut Street Streetscape</t>
  </si>
  <si>
    <t>Van Voorhis Road Widening - Phase 1</t>
  </si>
  <si>
    <t>Patteson Drive Multimodal Improvements - RRFB</t>
  </si>
  <si>
    <t>MMMPO -  Project Recommendations by Type</t>
  </si>
  <si>
    <t>Study of corridor needs in coordination with Downtown Morgantown Study</t>
  </si>
  <si>
    <t>Study of converting existing 1-way streets to 2-way and improving intersection crossings, traffic signals, and pedestrian facilities</t>
  </si>
  <si>
    <t>Mobility safety study for pedestrians in the vicinity of Evansdale neighborhood</t>
  </si>
  <si>
    <t>Small area study to improve transportation connections from waterfront to Downtown</t>
  </si>
  <si>
    <t>Extend existing trail into Downtown and WVU campus</t>
  </si>
  <si>
    <t>Potential roadway alignment to balance traffic on adjacent roadways</t>
  </si>
  <si>
    <t>Extension of Greenbag Road and new bridge crossing over Mon River to connect with Industrial Park</t>
  </si>
  <si>
    <t>Phase 2 extension of existing PRT further east - Alternative Funding Dependent</t>
  </si>
  <si>
    <t>Phase 1 extension of existing PRT further northeast - Alternative Funding Dependent</t>
  </si>
  <si>
    <t>Potential new roadway connection to balance traffic and improve I-79 access - Alternative Funding Dependent</t>
  </si>
  <si>
    <t>Potential new roadway and bridge over Mon River to WV 100 - Alternative Funding Dependent</t>
  </si>
  <si>
    <t>Potential new roadway and improvement of existing roads near Morgantown Airport / I-68 Industrial Area - Alternative Funding Dependent</t>
  </si>
  <si>
    <t>New I-79 exit and improved roadway access to Industrial Park property - Alternative Funding Dependent</t>
  </si>
  <si>
    <t>Sidepath along WV-705 (southside) to connect residents with shopping /retail areas. Requires separation from vehicles and drainage improvements</t>
  </si>
  <si>
    <t>New trail connection from Mon River through Arboretum towards WVU Evansdale Campus, and parallel to PRT corridor.</t>
  </si>
  <si>
    <t>New trail from parking lot to Mon River North Trail</t>
  </si>
  <si>
    <t>Extend existing sidewalk further north and connect with M123 project</t>
  </si>
  <si>
    <t>New trail on WVU campus along steep slope towards Evansdale Campus</t>
  </si>
  <si>
    <t>Improve connection to Myland Park with shared use path along south side of Chaplin Road</t>
  </si>
  <si>
    <t>Extend Cheat Lake Rail-Trail along existing roadways and business district to connect with Coopers Rock Park (south side) near Mon Chateau Trail</t>
  </si>
  <si>
    <t>Connect existing trails through easements and existing open spaces along the north side of Morgantown</t>
  </si>
  <si>
    <t>Connect existing trails through easements and existing open spaces along the south side of Morgantown</t>
  </si>
  <si>
    <t>Connect two local parks with off-road trail</t>
  </si>
  <si>
    <t>Improve existing roadway and drainage relating to project C9</t>
  </si>
  <si>
    <t>Improve safety by reducing point of conflict, consolidating driveways, improving streetscape and pedestrian crossing locations along this gateway corridor into Downtown</t>
  </si>
  <si>
    <t>Streetscape and safety improvements to consolidate driveways and reduce points of conflict. Improve multimodal transportation conditions</t>
  </si>
  <si>
    <t>Widen this short segment of roadway near Hospital and WVU football stadium</t>
  </si>
  <si>
    <t>Improve existing roadway to standard 11' width, shoulder, and stormwater drainage conditions</t>
  </si>
  <si>
    <t>Improve existing roadway to standard 11' width, shoulder, and stormwater drainage conditions. Construct sidewalk to Dupont Heights neighborhood</t>
  </si>
  <si>
    <t>Extend center turn lane further south to improve traffic operations</t>
  </si>
  <si>
    <t>Improve existing roadway to standard 11' width, shoulder, and stormwater drainage conditions in anticipation for increased development and traffic volume</t>
  </si>
  <si>
    <t>Add lanes to relieve traffic bottleneck at intersection</t>
  </si>
  <si>
    <t>Improve existing roadway to standard 11' width, shoulder, and stormwater drainage conditions. Coordinate with C1 and C11 projects</t>
  </si>
  <si>
    <t>Improve safety by reducing point of conflict, consolidating driveways, improving streetscape and pedestrian crossing locations along this gateway corridor</t>
  </si>
  <si>
    <t>Improve transit amenities along several roadways between WVU campuses, including curbs, sidewalks, bus stops, lighting, and/or bus pull off areas</t>
  </si>
  <si>
    <t>Extend trail from White Park further north along Callen Avenue and provide pedestrian bridge over Don Knotts Blvd to connect with Mountaineer Heritage Park</t>
  </si>
  <si>
    <t>Improve shoulders to serve as on-road bike lanes, and serve as regional bike route</t>
  </si>
  <si>
    <t>Widen to address traffic deficiency. Coordinate with M69b</t>
  </si>
  <si>
    <t>Widen to address traffic deficiency. Coordinate with M69</t>
  </si>
  <si>
    <t>Improve existing roadway to standard 11' width, pedestrian connection, and transit access</t>
  </si>
  <si>
    <t>Improve existing roadway to standard 11' width, and intersection improvements</t>
  </si>
  <si>
    <t>Improve existing roadway to standard 11' width, add turn lanes and sidewalks</t>
  </si>
  <si>
    <t>Improve existing roadway to standard 11' width, add turn lanes and sidewalks. Provide shoulders where possible.</t>
  </si>
  <si>
    <t>Improve existing roadway and extend sidewalks. Provide transit stop amenities.</t>
  </si>
  <si>
    <t xml:space="preserve">Add center turn lane and consolidate driveways to improve safety. Add sidewalk along one side. </t>
  </si>
  <si>
    <t>Improve existing roadway to standard 11' width, improve drainage, and provide wide shoulders for bicyclists</t>
  </si>
  <si>
    <t>Widen to 4-lanes with turns lanes near intersections. Consolidate driveways to limit points of conflict and provide bike lanes (or climbing lane)</t>
  </si>
  <si>
    <t>Extend sidewalks along at least one side of roadway</t>
  </si>
  <si>
    <t>Widen interstate to 6-lanes</t>
  </si>
  <si>
    <t>Widen interstate to provide auxiliary lanes</t>
  </si>
  <si>
    <t>Improve existing roadway to standard 11' width, with shoulders, and sidewalks where possible. Separate project into multiple phases with logical termini</t>
  </si>
  <si>
    <t>Improve safety by limiting points of conflict and consolidating driveways. Provide sidewalks where necessary and improve streetscape</t>
  </si>
  <si>
    <t>Improve existing roadway to standard 11' width, provide paved shoulders for bicycles, and add sidewalks along both sides. Provide bus stop locations and safe crossing at intersections</t>
  </si>
  <si>
    <t>Add additional travel lane and center turn lane as necessary. Consolidate driveways and add sidewalk along west side</t>
  </si>
  <si>
    <t>Add center turn lane and consolidate driveways to improve safety. Add sidewalks</t>
  </si>
  <si>
    <t>Redesign this skewed intersection with WVDOH to improve safety</t>
  </si>
  <si>
    <t>Improve safety, visibility, and crossing for all modes. Coordinate with C2 Downtown study</t>
  </si>
  <si>
    <t>Improve safety, visibility, and crossing at this unsignalized intersection. Coordinate with C2 Downtown study</t>
  </si>
  <si>
    <t>Improve safety and visibility at this off-set intersection</t>
  </si>
  <si>
    <t>Improve safety and visibility at this skewed intersection</t>
  </si>
  <si>
    <t>Improve safety and visibility at this unsignalized intersection</t>
  </si>
  <si>
    <t>Improve safety and visibility at this skewed, multi-leg intersection</t>
  </si>
  <si>
    <t>Add pedestrian crossing facilities, refuge islands, and count down signals at this intersection</t>
  </si>
  <si>
    <t>Improve traffic flow to reduce delay and improve geometry (alignment of lanes). Coordinate with M73b project</t>
  </si>
  <si>
    <t>Improve geometry of intersection. Coordinate with TIP projects for Van Voorhis and West Run Road</t>
  </si>
  <si>
    <t>Improve geometry of this 5-legged intersection to improve safety for Farm View Road. Provide pedestrian crosswalk markings</t>
  </si>
  <si>
    <t>Improve safety and visibility at this topography-constrained intersection</t>
  </si>
  <si>
    <t>Improve geometry at this skewed intersection</t>
  </si>
  <si>
    <t>Improve geometry at this skewed 3-way intersection. Coordinate with C9 new connection and bridge project</t>
  </si>
  <si>
    <t>Improve visibility for pedestrians at this signalized intersection</t>
  </si>
  <si>
    <t>Provide safe pedestrian crossing, refuge island and lighting</t>
  </si>
  <si>
    <t>Consider multiple design treatments to improve pedestrian crossing at-grade, above grade, or convert to pedestrian-only segment. Coordinate with C2 Downtown study</t>
  </si>
  <si>
    <t>Improve pedestrian connectivity with ADA ramps, sidewalks, and pedestrian countdown signals</t>
  </si>
  <si>
    <t>Improve pedestrian crossing at this signalized intersection</t>
  </si>
  <si>
    <t xml:space="preserve">Improve pedestrian crossing, curb ramps, and sidewalk connections. Coordinate with C2 Downtown study and M23 </t>
  </si>
  <si>
    <t>Sidewalk improvements</t>
  </si>
  <si>
    <t>ADA curb ramps</t>
  </si>
  <si>
    <t>Pedestrian sidewalk improvements</t>
  </si>
  <si>
    <t>Improvements at I-79 Welcome Center</t>
  </si>
  <si>
    <t>Connect trail with shopping center</t>
  </si>
  <si>
    <t>Intersection improvements</t>
  </si>
  <si>
    <t>Improvements and new alignment at I-79 interchange</t>
  </si>
  <si>
    <t>Improve existing travel lanes to standard width, construct two roundabouts, and improve shoulders</t>
  </si>
  <si>
    <t>Improve existing travel lanes to standard width, and improve shoulders</t>
  </si>
  <si>
    <t>New shared use path for pedestrians and bicyclists</t>
  </si>
  <si>
    <t>Modify existing intersection</t>
  </si>
  <si>
    <t>Improve streetscape amenities</t>
  </si>
  <si>
    <t>Signage and lighting improvements at trail</t>
  </si>
  <si>
    <t>Improve existing travel lanes to standard width, add sidewalks and improve transit access</t>
  </si>
  <si>
    <t>I-76 Bridge Rehabilitation Projects</t>
  </si>
  <si>
    <t>Add rectangular rapid flashing beacon (RRFB) for pedestrian safety</t>
  </si>
  <si>
    <t>Improve lighting</t>
  </si>
  <si>
    <t>Improve safety and visibility at this signalized intersection. Provide pedestrian crosswalks.</t>
  </si>
  <si>
    <t>Provide safe pedestrian crossing, crosswalks, and new sidewalk to connect with Deckers Creek Trail</t>
  </si>
  <si>
    <t>Improve safety and visibility at this signalized intersection</t>
  </si>
  <si>
    <t>Improve existing roadway to standard lane width, with bicycle faculties and sidewalks. Improve transit stop/shelter locations</t>
  </si>
  <si>
    <t>Improve existing roadway to standard lane width, with bicycle facilities and sidewalks. Improve transit stop/shelter locations</t>
  </si>
  <si>
    <t>Improve existing roadway to standard 11' width, improve drainage, and provide wide shoulders for bicyclists. Construct sidewalks and improve bus stop locations. Include Alternative Truck Route signage</t>
  </si>
  <si>
    <t>Improve existing roadway to standard 11' width, shoulder, and stormwater drainage conditions along this narrow, rural roadway corridor</t>
  </si>
  <si>
    <t>Extend Cheat Lake Rail-Trail near Darnell Hollow Road towards Coopers Rock Park (north side)</t>
  </si>
  <si>
    <t>Intersection geometry improvement and turn lane</t>
  </si>
  <si>
    <t>Foundry Street Trail Connection</t>
  </si>
  <si>
    <t>Caperton Trail Lighting Improvements</t>
  </si>
  <si>
    <t>Intersection improvements and traffic signal optimization. Add sidewalk on both sides, provide bus stops and improve crossing locations</t>
  </si>
  <si>
    <t>Downtown Morgantown Master Plan Study</t>
  </si>
  <si>
    <t>C2a</t>
  </si>
  <si>
    <t>Near I-68 / Cheat Rd</t>
  </si>
  <si>
    <t>Mileground Rd (US 119)</t>
  </si>
  <si>
    <t>Earl Core Rd (WV 7) Access Management</t>
  </si>
  <si>
    <t>Exit 148</t>
  </si>
  <si>
    <t>Spent</t>
  </si>
  <si>
    <t>Available Funds</t>
  </si>
  <si>
    <t>Foundry St</t>
  </si>
  <si>
    <t>North Willey St</t>
  </si>
  <si>
    <t>Prospect St</t>
  </si>
  <si>
    <t>Protzman St</t>
  </si>
  <si>
    <t>WV 705/Burroughs St</t>
  </si>
  <si>
    <t>Patteson/Van Voorhis Rd</t>
  </si>
  <si>
    <t>4H Camp Rd / Walmart</t>
  </si>
  <si>
    <t>Goshen Rd</t>
  </si>
  <si>
    <t>Brockway Ave / Rodgers Ave / Powell Ave (WV 7) Improvements</t>
  </si>
  <si>
    <t>Scenic View Dr</t>
  </si>
  <si>
    <t>Deckers Creek Trail</t>
  </si>
  <si>
    <t>Coopers Rock Park - Mont Chateau Trail</t>
  </si>
  <si>
    <t>New Exit 150 (River Road)</t>
  </si>
  <si>
    <t>New Connection (Bike/Ped)</t>
  </si>
  <si>
    <t>Multimodal (Trail)</t>
  </si>
  <si>
    <t>Multimodal (Bike-Ped)</t>
  </si>
  <si>
    <t>Widen (add lanes) or Access Management</t>
  </si>
  <si>
    <t>Multimodal (Transit)</t>
  </si>
  <si>
    <t>Pedestrian Safety / Intersection</t>
  </si>
  <si>
    <t>New Roadway Connection - Stewart to Mileground</t>
  </si>
  <si>
    <t>New Roadway Connection - Mileground to Hartman Run</t>
  </si>
  <si>
    <t>Extension of Airport Industrial Road</t>
  </si>
  <si>
    <t>New Roadway Connection - Mountain Valley Drive Extension</t>
  </si>
  <si>
    <t>New Roadway Connection - Southern Mon River Bridge</t>
  </si>
  <si>
    <t>New Roadway Connection - Industrial Park Rd</t>
  </si>
  <si>
    <t>New Roadway Connection-Mileground to Hartman Run</t>
  </si>
  <si>
    <t>New Connection-Stewart to Mileground</t>
  </si>
  <si>
    <t>Extension of Airport Industrial Road to WV-7 in Sabraton</t>
  </si>
  <si>
    <t>New Roaway Connection-Mountain Valley Drive Extension</t>
  </si>
  <si>
    <t>New Roadway Connection-Industrial Park Rd</t>
  </si>
  <si>
    <t>New Roadway Connection-Southern Mon River Bridge</t>
  </si>
  <si>
    <t>New Roadway Connection-Stewart to Mileground</t>
  </si>
  <si>
    <t>New Roadway Connection-Mountain Valley Drive Extension</t>
  </si>
  <si>
    <t>Summary Table of Project Categories by Tier</t>
  </si>
  <si>
    <r>
      <rPr>
        <b/>
        <sz val="9"/>
        <color rgb="FFFF0000"/>
        <rFont val="Calibri"/>
        <family val="2"/>
        <scheme val="minor"/>
      </rPr>
      <t>Red</t>
    </r>
    <r>
      <rPr>
        <sz val="9"/>
        <color theme="1"/>
        <rFont val="Calibri"/>
        <family val="2"/>
        <scheme val="minor"/>
      </rPr>
      <t xml:space="preserve"> text means under budget</t>
    </r>
  </si>
  <si>
    <t>Greenbag Road Improvements - Segment 1</t>
  </si>
  <si>
    <t>Mileground Rd Widening - Segment 1</t>
  </si>
  <si>
    <t>Cheat Rd Widening - Segment 2</t>
  </si>
  <si>
    <t>University Ave Complete Street Improvements - Segment 3</t>
  </si>
  <si>
    <t>Greenbag Rd Improvements - Segment 2</t>
  </si>
  <si>
    <t>Greenbag Rd Improvements - Segment 1</t>
  </si>
  <si>
    <t>University Ave Complete Street Improvements - Segment 1</t>
  </si>
  <si>
    <t>University Ave Complete Street Improvements - Segment 2</t>
  </si>
  <si>
    <t>PRT Extension - Segment 1</t>
  </si>
  <si>
    <t>PRT Extension - Segment 2</t>
  </si>
  <si>
    <t>University Ave Complete Street - Segment 1</t>
  </si>
  <si>
    <t>Van Voorhis Road Improvement - Segment 2</t>
  </si>
  <si>
    <t>University Ave Complete Street - Segment 2</t>
  </si>
  <si>
    <t>University Ave Complete Street - Segment 3</t>
  </si>
  <si>
    <t>West Run Road - Eastern</t>
  </si>
  <si>
    <t>West Run Road - Western</t>
  </si>
  <si>
    <t>Van Voorhis Road Improvements - Segment 1</t>
  </si>
  <si>
    <t>Mileground Rd Widening</t>
  </si>
  <si>
    <t>Beechurst Ave / Campus Dr Improvements</t>
  </si>
  <si>
    <t>I-79 Exit 155 / Chaplin Rd / Star City Interchange</t>
  </si>
  <si>
    <r>
      <t xml:space="preserve">Current TIP Projects - </t>
    </r>
    <r>
      <rPr>
        <i/>
        <sz val="9"/>
        <color theme="1"/>
        <rFont val="Calibri"/>
        <family val="2"/>
        <scheme val="minor"/>
      </rPr>
      <t>includes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Roads to Prosperity</t>
    </r>
    <r>
      <rPr>
        <sz val="9"/>
        <color theme="1"/>
        <rFont val="Calibri"/>
        <family val="2"/>
        <scheme val="minor"/>
      </rPr>
      <t xml:space="preserve"> projects:</t>
    </r>
  </si>
  <si>
    <t>Industrial Park Access Improvements - Harmony Grove Interchange</t>
  </si>
  <si>
    <t>Exit 150 - River Road</t>
  </si>
  <si>
    <t>New Exit 150 - River Road</t>
  </si>
  <si>
    <t>Lucky Ln</t>
  </si>
  <si>
    <t>Steartstown Rd</t>
  </si>
  <si>
    <t>Point Marions Rd(US 119)</t>
  </si>
  <si>
    <t>Campus Dr</t>
  </si>
  <si>
    <t>New I-79 Exit 150 - River Rd</t>
  </si>
  <si>
    <t>Donna Ave</t>
  </si>
  <si>
    <t>Unfunded future project - potential overlap?</t>
  </si>
  <si>
    <t>C2, M49abc</t>
  </si>
  <si>
    <t>Downtown Study</t>
  </si>
  <si>
    <t>TIP project</t>
  </si>
  <si>
    <t>M49abc</t>
  </si>
  <si>
    <t>M48, M65</t>
  </si>
  <si>
    <t>M65, C7</t>
  </si>
  <si>
    <t>M118, M116</t>
  </si>
  <si>
    <t>C11, C1</t>
  </si>
  <si>
    <t>C1, M106</t>
  </si>
  <si>
    <r>
      <t>Local priority - Tier 1;</t>
    </r>
    <r>
      <rPr>
        <sz val="9"/>
        <color theme="1"/>
        <rFont val="Calibri"/>
        <family val="2"/>
        <scheme val="minor"/>
      </rPr>
      <t xml:space="preserve"> Concept design (partial); Intersection improvements, Traffic signal equipment, pedestrian crossings, stormwater, utilities, shared use path</t>
    </r>
  </si>
  <si>
    <t xml:space="preserve"> </t>
  </si>
  <si>
    <t>Curb-&amp;-gutter, bus pull offs, curb ramps, pedestrian crossings, traffic signal equipment, utilities, stormwater</t>
  </si>
  <si>
    <t>Intersection improvements, traffic signal, bicycle connection, sidewalks, turn lanes, bus stops/shelters</t>
  </si>
  <si>
    <r>
      <t>Local priority - Tier 1</t>
    </r>
    <r>
      <rPr>
        <sz val="9"/>
        <color theme="1"/>
        <rFont val="Calibri"/>
        <family val="2"/>
        <scheme val="minor"/>
      </rPr>
      <t>; Access management, intersections, turn lanes, paved shoulders, sidealks, bus shelters</t>
    </r>
  </si>
  <si>
    <t>Improve geometry, Turn lanes, sidealks, paved shoulders, bus stops</t>
  </si>
  <si>
    <t>Concept design intersection; curb and gutter, crosswalks, traffic signal, utilities, stormwater</t>
  </si>
  <si>
    <r>
      <t>Local priority - Tier 1</t>
    </r>
    <r>
      <rPr>
        <sz val="9"/>
        <color theme="1"/>
        <rFont val="Calibri"/>
        <family val="2"/>
        <scheme val="minor"/>
      </rPr>
      <t>; lane widths, paved shoulders, drainage, Truck Route, sidewalks (portion), bus stops</t>
    </r>
  </si>
  <si>
    <r>
      <t>Local priority - Tier 1</t>
    </r>
    <r>
      <rPr>
        <sz val="9"/>
        <color theme="1"/>
        <rFont val="Calibri"/>
        <family val="2"/>
        <scheme val="minor"/>
      </rPr>
      <t>; safety and pedestrian crossing; connect with Trail</t>
    </r>
  </si>
  <si>
    <t>correct lane widths, curb and gutter, drainage, sidewalks, bus stops</t>
  </si>
  <si>
    <t>Add new lanes, traffic signal, paved shoulders, HOV possibility</t>
  </si>
  <si>
    <t>Add new lanes, turn lanes, access management, paved shoulders, sidewalks</t>
  </si>
  <si>
    <t>Capacity improvements, turn lanes, geometry, paved shoulder, sidewalks, bus stops</t>
  </si>
  <si>
    <t>Crosswalks, pedestrian signal heads, ADA considerations</t>
  </si>
  <si>
    <t>Visibility and safety issue for pedestrians</t>
  </si>
  <si>
    <t>Consolidation of driveways, partial median, turn lanes, shoulder, pedestrian crossings, streetscaping</t>
  </si>
  <si>
    <t>New Roadway Connection - WestRidge Development</t>
  </si>
  <si>
    <t>Chaplin Road</t>
  </si>
  <si>
    <t>Solomon Rd</t>
  </si>
  <si>
    <r>
      <t>Local priority - Tier 1</t>
    </r>
    <r>
      <rPr>
        <sz val="9"/>
        <color theme="1"/>
        <rFont val="Calibri"/>
        <family val="2"/>
        <scheme val="minor"/>
      </rPr>
      <t>; WVU crossing</t>
    </r>
  </si>
  <si>
    <t>Improved pedestrian crossing; stormwater; utilities</t>
  </si>
  <si>
    <t>lane widths, curb and gutter, sidewalk, bus stops</t>
  </si>
  <si>
    <t>Pedestrian crossing, curb &amp; gutter, turn lane removal, geometry, traffic signal</t>
  </si>
  <si>
    <t>Widen to 3-lanes for future deficiency, curb and gutter, sidewalks, bus stops</t>
  </si>
  <si>
    <r>
      <t>Local priority;</t>
    </r>
    <r>
      <rPr>
        <sz val="9"/>
        <color theme="1"/>
        <rFont val="Calibri"/>
        <family val="2"/>
        <scheme val="minor"/>
      </rPr>
      <t xml:space="preserve"> Intersection; congestion, access management, and pedestrian improvement</t>
    </r>
  </si>
  <si>
    <t>Local priority; WVU property</t>
  </si>
  <si>
    <t>Improve many roadways for bus amenities; correct geometry, add bus pull offs, bus stops, pedestrian crossings; traffic signal priority</t>
  </si>
  <si>
    <t>Pedestrian crossing, markings, signal equipment, curb and gutter, pedestrian refuge</t>
  </si>
  <si>
    <t>Pedestrian crossing, markings, curb ramps</t>
  </si>
  <si>
    <t>Pedestrian crossing, markings, curb ramps; geometry improvements</t>
  </si>
  <si>
    <r>
      <t>Local priority</t>
    </r>
    <r>
      <rPr>
        <sz val="9"/>
        <color theme="1"/>
        <rFont val="Calibri"/>
        <family val="2"/>
        <scheme val="minor"/>
      </rPr>
      <t>; extend sidewalk near school with trail access</t>
    </r>
  </si>
  <si>
    <t>Bridge replacement; skewed intersection; safety</t>
  </si>
  <si>
    <t>Improve safety and maintenance; connect with Trail; address sidewalk gaps, utilities, bus stops</t>
  </si>
  <si>
    <t>Widen to 4-lanes, improve congestion, add turn lanes, paved shoulders</t>
  </si>
  <si>
    <t>Connect residential with shopping; improve safety at intersections, provide east-west multimodal connection</t>
  </si>
  <si>
    <t>WVDOT project</t>
  </si>
  <si>
    <t>Paved shoulders for regional bike connection</t>
  </si>
  <si>
    <t>Extend existing trail to sidewalk near WVU</t>
  </si>
  <si>
    <t>lane widths, curb and gutter, drainage, bus stops</t>
  </si>
  <si>
    <t>Local priority trail connection</t>
  </si>
  <si>
    <t>Turn lanes, paved shoulders, drainage, intersection crossings, sidewalk</t>
  </si>
  <si>
    <r>
      <t>Local priority</t>
    </r>
    <r>
      <rPr>
        <sz val="9"/>
        <color theme="1"/>
        <rFont val="Calibri"/>
        <family val="2"/>
        <scheme val="minor"/>
      </rPr>
      <t xml:space="preserve"> - connect two parks, bridge over US 19</t>
    </r>
  </si>
  <si>
    <t>Intersection improvements, turn lane, pedestrian crossings</t>
  </si>
  <si>
    <t>Greenbag Rd Improvements - Segment 3</t>
  </si>
  <si>
    <t>Add a Downtown micro-simulation study to Tier 1 - $500k</t>
  </si>
  <si>
    <t>White Park/Caperton Trail Multimodal Connection - Bridge</t>
  </si>
  <si>
    <t>$41.6M total cost - Alt Funds with TIF</t>
  </si>
  <si>
    <r>
      <rPr>
        <b/>
        <sz val="9"/>
        <color theme="1"/>
        <rFont val="Calibri"/>
        <family val="2"/>
        <scheme val="minor"/>
      </rPr>
      <t>Local priority</t>
    </r>
    <r>
      <rPr>
        <sz val="9"/>
        <color theme="1"/>
        <rFont val="Calibri"/>
        <family val="2"/>
        <scheme val="minor"/>
      </rPr>
      <t>; Skewed intersection geometry; pedestrian crossing</t>
    </r>
  </si>
  <si>
    <t>STUDY</t>
  </si>
  <si>
    <t>MULTIPLE STUDIES</t>
  </si>
  <si>
    <t>Chaplin Rd Improvements</t>
  </si>
  <si>
    <t>New Roadway Connection-Multimodal Access to Mylan Park</t>
  </si>
  <si>
    <t>Downtown Microsimulation Model - Traffic Operations</t>
  </si>
  <si>
    <t>White Park/Caperton Multimodal Trail Connection - Bridge</t>
  </si>
  <si>
    <t>Alt Funds TIF</t>
  </si>
  <si>
    <t>Design study representing 10% of construction costs</t>
  </si>
  <si>
    <t>Design Study - White Park/Caperton Multimodal Trail Connection</t>
  </si>
  <si>
    <t>MTP portion</t>
  </si>
  <si>
    <t>TIF portion</t>
  </si>
  <si>
    <r>
      <t>MTP CORRIDOR PROJECTS - Lines</t>
    </r>
    <r>
      <rPr>
        <sz val="10"/>
        <color theme="1"/>
        <rFont val="Calibri"/>
        <family val="2"/>
      </rPr>
      <t xml:space="preserve"> (continued)</t>
    </r>
  </si>
  <si>
    <t>Potential roadway alignment through WestRidge development, providing multimodal access to Mylan Park</t>
  </si>
  <si>
    <t>Related with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</si>
</sst>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  <numFmt numFmtId="167" formatCode="\$#,##0"/>
    <numFmt numFmtId="168" formatCode="m/d/yyyy;@"/>
    <numFmt numFmtId="169" formatCode="0.0"/>
    <numFmt numFmtId="170" formatCode="\$0"/>
    <numFmt numFmtId="171" formatCode="0.0%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 tint="0.499984740745262"/>
      <name val="Times New Roman"/>
      <family val="1"/>
    </font>
    <font>
      <sz val="10"/>
      <color theme="1" tint="0.499984740745262"/>
      <name val="Times New Roman"/>
      <family val="1"/>
    </font>
    <font>
      <b/>
      <sz val="12"/>
      <color theme="1" tint="0.499984740745262"/>
      <name val="Times New Roman"/>
      <family val="1"/>
    </font>
    <font>
      <sz val="12"/>
      <color theme="1" tint="0.499984740745262"/>
      <name val="Times New Roman"/>
      <family val="1"/>
    </font>
    <font>
      <b/>
      <sz val="14"/>
      <color rgb="FFFF0000"/>
      <name val="Times New Roman"/>
      <family val="1"/>
    </font>
    <font>
      <strike/>
      <sz val="10"/>
      <color theme="1"/>
      <name val="Calibri"/>
      <family val="2"/>
      <scheme val="minor"/>
    </font>
    <font>
      <b/>
      <sz val="10"/>
      <color theme="1" tint="0.499984740745262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rgb="FF0070C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9"/>
      <color theme="4"/>
      <name val="Calibri"/>
      <family val="2"/>
      <scheme val="minor"/>
    </font>
    <font>
      <sz val="9"/>
      <color theme="9"/>
      <name val="Calibri"/>
      <family val="2"/>
      <scheme val="minor"/>
    </font>
    <font>
      <b/>
      <sz val="9"/>
      <color theme="9"/>
      <name val="Calibri"/>
      <family val="2"/>
      <scheme val="minor"/>
    </font>
    <font>
      <i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6CC"/>
        <bgColor indexed="64"/>
      </patternFill>
    </fill>
    <fill>
      <patternFill patternType="solid">
        <fgColor rgb="FFE8F6CC"/>
        <bgColor indexed="64"/>
      </patternFill>
    </fill>
    <fill>
      <patternFill patternType="solid">
        <fgColor rgb="FFFFA7F0"/>
        <bgColor indexed="64"/>
      </patternFill>
    </fill>
    <fill>
      <patternFill patternType="solid">
        <fgColor rgb="FFA0FF71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7DE0FF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0" fontId="27" fillId="7" borderId="0" applyNumberFormat="0" applyBorder="0" applyAlignment="0" applyProtection="0"/>
  </cellStyleXfs>
  <cellXfs count="145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14" fontId="6" fillId="3" borderId="1" xfId="0" applyNumberFormat="1" applyFont="1" applyFill="1" applyBorder="1" applyAlignment="1">
      <alignment horizontal="left" vertical="center" wrapText="1"/>
    </xf>
    <xf numFmtId="164" fontId="6" fillId="3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6" fontId="8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center"/>
    </xf>
    <xf numFmtId="0" fontId="7" fillId="0" borderId="0" xfId="0" applyFont="1"/>
    <xf numFmtId="0" fontId="7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9" fillId="0" borderId="0" xfId="0" applyFont="1"/>
    <xf numFmtId="0" fontId="5" fillId="3" borderId="0" xfId="0" applyFont="1" applyFill="1"/>
    <xf numFmtId="0" fontId="5" fillId="0" borderId="0" xfId="0" applyFont="1" applyAlignment="1">
      <alignment horizontal="left"/>
    </xf>
    <xf numFmtId="164" fontId="5" fillId="0" borderId="0" xfId="1" applyNumberFormat="1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0" fillId="3" borderId="1" xfId="0" applyFont="1" applyFill="1" applyBorder="1"/>
    <xf numFmtId="0" fontId="11" fillId="0" borderId="1" xfId="0" applyFont="1" applyBorder="1"/>
    <xf numFmtId="0" fontId="11" fillId="3" borderId="1" xfId="0" applyFont="1" applyFill="1" applyBorder="1"/>
    <xf numFmtId="0" fontId="11" fillId="0" borderId="0" xfId="0" applyFont="1" applyAlignment="1">
      <alignment horizontal="center"/>
    </xf>
    <xf numFmtId="0" fontId="11" fillId="0" borderId="6" xfId="0" applyFont="1" applyBorder="1"/>
    <xf numFmtId="14" fontId="6" fillId="3" borderId="6" xfId="0" applyNumberFormat="1" applyFont="1" applyFill="1" applyBorder="1" applyAlignment="1">
      <alignment horizontal="left" vertical="center" wrapText="1"/>
    </xf>
    <xf numFmtId="164" fontId="6" fillId="3" borderId="6" xfId="1" applyNumberFormat="1" applyFont="1" applyFill="1" applyBorder="1" applyAlignment="1">
      <alignment horizontal="left" vertical="center" wrapText="1"/>
    </xf>
    <xf numFmtId="0" fontId="11" fillId="0" borderId="2" xfId="0" applyFont="1" applyBorder="1"/>
    <xf numFmtId="0" fontId="11" fillId="3" borderId="2" xfId="0" applyFont="1" applyFill="1" applyBorder="1"/>
    <xf numFmtId="0" fontId="11" fillId="0" borderId="3" xfId="0" applyFont="1" applyBorder="1"/>
    <xf numFmtId="166" fontId="11" fillId="0" borderId="2" xfId="1" applyNumberFormat="1" applyFont="1" applyBorder="1"/>
    <xf numFmtId="166" fontId="11" fillId="0" borderId="0" xfId="1" applyNumberFormat="1" applyFont="1"/>
    <xf numFmtId="166" fontId="11" fillId="0" borderId="1" xfId="1" applyNumberFormat="1" applyFont="1" applyBorder="1"/>
    <xf numFmtId="166" fontId="11" fillId="0" borderId="6" xfId="1" applyNumberFormat="1" applyFont="1" applyBorder="1"/>
    <xf numFmtId="166" fontId="11" fillId="0" borderId="3" xfId="1" applyNumberFormat="1" applyFont="1" applyBorder="1"/>
    <xf numFmtId="164" fontId="11" fillId="0" borderId="0" xfId="1" applyNumberFormat="1" applyFont="1"/>
    <xf numFmtId="0" fontId="11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43" fontId="11" fillId="3" borderId="2" xfId="1" applyFont="1" applyFill="1" applyBorder="1" applyAlignment="1">
      <alignment horizontal="center"/>
    </xf>
    <xf numFmtId="43" fontId="11" fillId="3" borderId="1" xfId="1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2" fillId="3" borderId="1" xfId="0" applyFont="1" applyFill="1" applyBorder="1"/>
    <xf numFmtId="0" fontId="10" fillId="3" borderId="6" xfId="0" applyFont="1" applyFill="1" applyBorder="1"/>
    <xf numFmtId="164" fontId="11" fillId="3" borderId="2" xfId="1" applyNumberFormat="1" applyFont="1" applyFill="1" applyBorder="1"/>
    <xf numFmtId="164" fontId="11" fillId="3" borderId="1" xfId="1" applyNumberFormat="1" applyFont="1" applyFill="1" applyBorder="1"/>
    <xf numFmtId="6" fontId="7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horizontal="left" vertical="center" wrapText="1"/>
    </xf>
    <xf numFmtId="14" fontId="7" fillId="3" borderId="1" xfId="0" applyNumberFormat="1" applyFont="1" applyFill="1" applyBorder="1" applyAlignment="1">
      <alignment horizontal="left" vertical="center" wrapText="1"/>
    </xf>
    <xf numFmtId="164" fontId="7" fillId="3" borderId="1" xfId="1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6" fontId="7" fillId="4" borderId="1" xfId="0" applyNumberFormat="1" applyFont="1" applyFill="1" applyBorder="1" applyAlignment="1">
      <alignment vertical="center"/>
    </xf>
    <xf numFmtId="6" fontId="8" fillId="4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left" vertical="center" wrapText="1"/>
    </xf>
    <xf numFmtId="6" fontId="7" fillId="4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10" xfId="0" applyFont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14" fillId="0" borderId="0" xfId="4" applyAlignment="1">
      <alignment horizontal="left" vertical="top"/>
    </xf>
    <xf numFmtId="0" fontId="15" fillId="5" borderId="0" xfId="4" applyFont="1" applyFill="1" applyAlignment="1">
      <alignment wrapText="1"/>
    </xf>
    <xf numFmtId="0" fontId="16" fillId="5" borderId="0" xfId="4" applyFont="1" applyFill="1" applyAlignment="1">
      <alignment horizontal="left" vertical="top"/>
    </xf>
    <xf numFmtId="0" fontId="18" fillId="0" borderId="10" xfId="4" applyFont="1" applyBorder="1" applyAlignment="1">
      <alignment vertical="top" wrapText="1"/>
    </xf>
    <xf numFmtId="168" fontId="18" fillId="0" borderId="10" xfId="4" applyNumberFormat="1" applyFont="1" applyBorder="1" applyAlignment="1">
      <alignment vertical="top" shrinkToFit="1"/>
    </xf>
    <xf numFmtId="0" fontId="18" fillId="0" borderId="10" xfId="4" applyFont="1" applyBorder="1" applyAlignment="1">
      <alignment vertical="center" wrapText="1"/>
    </xf>
    <xf numFmtId="168" fontId="18" fillId="0" borderId="10" xfId="4" applyNumberFormat="1" applyFont="1" applyBorder="1" applyAlignment="1">
      <alignment vertical="center" shrinkToFit="1"/>
    </xf>
    <xf numFmtId="0" fontId="16" fillId="0" borderId="10" xfId="4" applyFont="1" applyBorder="1" applyAlignment="1">
      <alignment vertical="top" wrapText="1"/>
    </xf>
    <xf numFmtId="0" fontId="16" fillId="0" borderId="0" xfId="4" applyFont="1" applyAlignment="1">
      <alignment horizontal="left" vertical="top"/>
    </xf>
    <xf numFmtId="0" fontId="15" fillId="5" borderId="0" xfId="4" applyFont="1" applyFill="1" applyAlignment="1"/>
    <xf numFmtId="0" fontId="11" fillId="3" borderId="0" xfId="0" applyFont="1" applyFill="1"/>
    <xf numFmtId="0" fontId="11" fillId="3" borderId="0" xfId="0" applyFont="1" applyFill="1" applyAlignment="1">
      <alignment vertical="center"/>
    </xf>
    <xf numFmtId="165" fontId="15" fillId="5" borderId="0" xfId="2" applyNumberFormat="1" applyFont="1" applyFill="1" applyAlignment="1">
      <alignment wrapText="1"/>
    </xf>
    <xf numFmtId="165" fontId="18" fillId="0" borderId="10" xfId="2" applyNumberFormat="1" applyFont="1" applyBorder="1" applyAlignment="1">
      <alignment vertical="top" shrinkToFit="1"/>
    </xf>
    <xf numFmtId="165" fontId="18" fillId="0" borderId="10" xfId="2" applyNumberFormat="1" applyFont="1" applyBorder="1" applyAlignment="1">
      <alignment vertical="center" shrinkToFit="1"/>
    </xf>
    <xf numFmtId="165" fontId="18" fillId="0" borderId="10" xfId="2" applyNumberFormat="1" applyFont="1" applyBorder="1" applyAlignment="1">
      <alignment vertical="top" wrapText="1"/>
    </xf>
    <xf numFmtId="165" fontId="18" fillId="0" borderId="10" xfId="2" applyNumberFormat="1" applyFont="1" applyBorder="1" applyAlignment="1">
      <alignment vertical="center" wrapText="1"/>
    </xf>
    <xf numFmtId="165" fontId="16" fillId="0" borderId="0" xfId="2" applyNumberFormat="1" applyFont="1" applyAlignment="1">
      <alignment horizontal="left" vertical="top"/>
    </xf>
    <xf numFmtId="0" fontId="16" fillId="5" borderId="0" xfId="4" applyFont="1" applyFill="1" applyAlignment="1">
      <alignment horizontal="center" vertical="top"/>
    </xf>
    <xf numFmtId="0" fontId="18" fillId="0" borderId="12" xfId="4" applyNumberFormat="1" applyFont="1" applyBorder="1" applyAlignment="1">
      <alignment horizontal="center" vertical="top" shrinkToFit="1"/>
    </xf>
    <xf numFmtId="0" fontId="16" fillId="0" borderId="0" xfId="4" applyFont="1" applyAlignment="1">
      <alignment horizontal="center" vertical="top"/>
    </xf>
    <xf numFmtId="0" fontId="18" fillId="0" borderId="12" xfId="4" applyFont="1" applyBorder="1" applyAlignment="1">
      <alignment vertical="center" wrapText="1"/>
    </xf>
    <xf numFmtId="0" fontId="16" fillId="0" borderId="12" xfId="4" applyFont="1" applyBorder="1" applyAlignment="1">
      <alignment vertical="top" wrapText="1"/>
    </xf>
    <xf numFmtId="165" fontId="18" fillId="0" borderId="12" xfId="2" applyNumberFormat="1" applyFont="1" applyBorder="1" applyAlignment="1">
      <alignment vertical="center" wrapText="1"/>
    </xf>
    <xf numFmtId="168" fontId="18" fillId="0" borderId="12" xfId="4" applyNumberFormat="1" applyFont="1" applyBorder="1" applyAlignment="1">
      <alignment vertical="center" shrinkToFit="1"/>
    </xf>
    <xf numFmtId="0" fontId="12" fillId="5" borderId="1" xfId="0" applyFont="1" applyFill="1" applyBorder="1"/>
    <xf numFmtId="14" fontId="6" fillId="3" borderId="1" xfId="0" applyNumberFormat="1" applyFont="1" applyFill="1" applyBorder="1" applyAlignment="1">
      <alignment horizontal="left" vertical="center"/>
    </xf>
    <xf numFmtId="14" fontId="6" fillId="3" borderId="6" xfId="0" applyNumberFormat="1" applyFont="1" applyFill="1" applyBorder="1" applyAlignment="1">
      <alignment horizontal="left" vertical="center"/>
    </xf>
    <xf numFmtId="0" fontId="11" fillId="0" borderId="0" xfId="0" applyFont="1" applyAlignment="1"/>
    <xf numFmtId="0" fontId="11" fillId="3" borderId="0" xfId="0" applyFont="1" applyFill="1" applyBorder="1"/>
    <xf numFmtId="0" fontId="18" fillId="3" borderId="10" xfId="4" applyFont="1" applyFill="1" applyBorder="1" applyAlignment="1">
      <alignment vertical="top" wrapText="1"/>
    </xf>
    <xf numFmtId="0" fontId="18" fillId="3" borderId="12" xfId="4" applyNumberFormat="1" applyFont="1" applyFill="1" applyBorder="1" applyAlignment="1">
      <alignment horizontal="center" vertical="top" shrinkToFit="1"/>
    </xf>
    <xf numFmtId="0" fontId="17" fillId="0" borderId="11" xfId="4" applyFont="1" applyBorder="1" applyAlignment="1">
      <alignment horizontal="left" vertical="center" wrapText="1"/>
    </xf>
    <xf numFmtId="0" fontId="17" fillId="0" borderId="11" xfId="4" applyFont="1" applyBorder="1" applyAlignment="1">
      <alignment horizontal="left" vertical="top" wrapText="1"/>
    </xf>
    <xf numFmtId="165" fontId="17" fillId="0" borderId="11" xfId="2" applyNumberFormat="1" applyFont="1" applyBorder="1" applyAlignment="1">
      <alignment horizontal="left" vertical="center" wrapText="1"/>
    </xf>
    <xf numFmtId="0" fontId="21" fillId="0" borderId="11" xfId="4" applyFont="1" applyBorder="1" applyAlignment="1">
      <alignment horizontal="left" vertical="top"/>
    </xf>
    <xf numFmtId="0" fontId="18" fillId="0" borderId="12" xfId="4" applyFont="1" applyBorder="1" applyAlignment="1">
      <alignment vertical="top" wrapText="1"/>
    </xf>
    <xf numFmtId="0" fontId="16" fillId="0" borderId="12" xfId="4" applyNumberFormat="1" applyFont="1" applyBorder="1" applyAlignment="1">
      <alignment horizontal="left" vertical="top" shrinkToFit="1"/>
    </xf>
    <xf numFmtId="0" fontId="16" fillId="3" borderId="12" xfId="4" applyNumberFormat="1" applyFont="1" applyFill="1" applyBorder="1" applyAlignment="1">
      <alignment horizontal="left" vertical="top" shrinkToFit="1"/>
    </xf>
    <xf numFmtId="14" fontId="3" fillId="3" borderId="1" xfId="0" applyNumberFormat="1" applyFont="1" applyFill="1" applyBorder="1" applyAlignment="1">
      <alignment horizontal="left" vertical="center"/>
    </xf>
    <xf numFmtId="14" fontId="6" fillId="3" borderId="18" xfId="0" applyNumberFormat="1" applyFont="1" applyFill="1" applyBorder="1" applyAlignment="1">
      <alignment horizontal="left" vertical="center"/>
    </xf>
    <xf numFmtId="14" fontId="6" fillId="3" borderId="4" xfId="0" applyNumberFormat="1" applyFont="1" applyFill="1" applyBorder="1" applyAlignment="1">
      <alignment horizontal="left" vertical="center"/>
    </xf>
    <xf numFmtId="0" fontId="11" fillId="3" borderId="6" xfId="0" applyFont="1" applyFill="1" applyBorder="1"/>
    <xf numFmtId="0" fontId="11" fillId="0" borderId="6" xfId="0" applyFont="1" applyFill="1" applyBorder="1"/>
    <xf numFmtId="0" fontId="11" fillId="0" borderId="0" xfId="0" applyFont="1" applyFill="1"/>
    <xf numFmtId="0" fontId="18" fillId="0" borderId="10" xfId="4" applyNumberFormat="1" applyFont="1" applyBorder="1" applyAlignment="1">
      <alignment horizontal="center" vertical="top" shrinkToFit="1"/>
    </xf>
    <xf numFmtId="0" fontId="16" fillId="0" borderId="10" xfId="4" applyNumberFormat="1" applyFont="1" applyBorder="1" applyAlignment="1">
      <alignment horizontal="left" vertical="top" shrinkToFit="1"/>
    </xf>
    <xf numFmtId="0" fontId="16" fillId="0" borderId="10" xfId="4" applyFont="1" applyBorder="1" applyAlignment="1">
      <alignment horizontal="left" vertical="top"/>
    </xf>
    <xf numFmtId="0" fontId="16" fillId="0" borderId="10" xfId="4" applyFont="1" applyBorder="1" applyAlignment="1">
      <alignment horizontal="center" vertical="top"/>
    </xf>
    <xf numFmtId="0" fontId="16" fillId="3" borderId="12" xfId="4" applyFont="1" applyFill="1" applyBorder="1" applyAlignment="1">
      <alignment horizontal="left" vertical="top" shrinkToFit="1"/>
    </xf>
    <xf numFmtId="0" fontId="9" fillId="3" borderId="0" xfId="0" applyFont="1" applyFill="1"/>
    <xf numFmtId="0" fontId="7" fillId="0" borderId="1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/>
    <xf numFmtId="0" fontId="23" fillId="0" borderId="1" xfId="0" applyFont="1" applyBorder="1"/>
    <xf numFmtId="0" fontId="24" fillId="0" borderId="0" xfId="0" applyFont="1"/>
    <xf numFmtId="0" fontId="13" fillId="3" borderId="0" xfId="0" applyFont="1" applyFill="1"/>
    <xf numFmtId="0" fontId="13" fillId="0" borderId="0" xfId="0" applyFont="1" applyAlignment="1">
      <alignment horizontal="left"/>
    </xf>
    <xf numFmtId="0" fontId="22" fillId="3" borderId="1" xfId="0" applyFont="1" applyFill="1" applyBorder="1"/>
    <xf numFmtId="164" fontId="13" fillId="0" borderId="0" xfId="1" applyNumberFormat="1" applyFont="1" applyBorder="1" applyAlignment="1">
      <alignment horizontal="left"/>
    </xf>
    <xf numFmtId="0" fontId="13" fillId="0" borderId="0" xfId="0" quotePrefix="1" applyFont="1"/>
    <xf numFmtId="0" fontId="10" fillId="0" borderId="0" xfId="0" applyFont="1" applyAlignment="1">
      <alignment horizontal="left"/>
    </xf>
    <xf numFmtId="164" fontId="3" fillId="3" borderId="3" xfId="1" applyNumberFormat="1" applyFont="1" applyFill="1" applyBorder="1" applyAlignment="1">
      <alignment horizontal="left" vertical="center" wrapText="1"/>
    </xf>
    <xf numFmtId="0" fontId="11" fillId="0" borderId="2" xfId="0" applyFont="1" applyFill="1" applyBorder="1"/>
    <xf numFmtId="0" fontId="11" fillId="0" borderId="1" xfId="0" applyFont="1" applyFill="1" applyBorder="1"/>
    <xf numFmtId="0" fontId="11" fillId="0" borderId="3" xfId="0" applyFont="1" applyFill="1" applyBorder="1"/>
    <xf numFmtId="0" fontId="10" fillId="0" borderId="0" xfId="0" applyFont="1" applyAlignment="1">
      <alignment horizontal="center"/>
    </xf>
    <xf numFmtId="165" fontId="11" fillId="0" borderId="2" xfId="2" applyNumberFormat="1" applyFont="1" applyBorder="1"/>
    <xf numFmtId="165" fontId="11" fillId="0" borderId="1" xfId="2" applyNumberFormat="1" applyFont="1" applyBorder="1"/>
    <xf numFmtId="165" fontId="11" fillId="0" borderId="3" xfId="2" applyNumberFormat="1" applyFont="1" applyBorder="1"/>
    <xf numFmtId="165" fontId="10" fillId="0" borderId="1" xfId="2" applyNumberFormat="1" applyFont="1" applyBorder="1"/>
    <xf numFmtId="165" fontId="10" fillId="0" borderId="3" xfId="2" applyNumberFormat="1" applyFont="1" applyBorder="1"/>
    <xf numFmtId="165" fontId="10" fillId="0" borderId="6" xfId="2" applyNumberFormat="1" applyFont="1" applyBorder="1"/>
    <xf numFmtId="0" fontId="10" fillId="0" borderId="3" xfId="0" applyFont="1" applyBorder="1"/>
    <xf numFmtId="166" fontId="10" fillId="0" borderId="3" xfId="1" applyNumberFormat="1" applyFont="1" applyBorder="1"/>
    <xf numFmtId="0" fontId="3" fillId="3" borderId="3" xfId="0" applyFont="1" applyFill="1" applyBorder="1" applyAlignment="1">
      <alignment horizontal="left" vertical="center" wrapText="1"/>
    </xf>
    <xf numFmtId="164" fontId="11" fillId="0" borderId="6" xfId="1" applyNumberFormat="1" applyFont="1" applyFill="1" applyBorder="1"/>
    <xf numFmtId="0" fontId="11" fillId="0" borderId="6" xfId="0" applyFont="1" applyFill="1" applyBorder="1" applyAlignment="1">
      <alignment horizontal="center"/>
    </xf>
    <xf numFmtId="164" fontId="11" fillId="0" borderId="1" xfId="1" applyNumberFormat="1" applyFont="1" applyFill="1" applyBorder="1"/>
    <xf numFmtId="0" fontId="11" fillId="0" borderId="1" xfId="0" applyFont="1" applyFill="1" applyBorder="1" applyAlignment="1">
      <alignment horizontal="center"/>
    </xf>
    <xf numFmtId="164" fontId="11" fillId="0" borderId="3" xfId="1" applyNumberFormat="1" applyFont="1" applyFill="1" applyBorder="1"/>
    <xf numFmtId="0" fontId="11" fillId="0" borderId="3" xfId="0" applyFont="1" applyFill="1" applyBorder="1" applyAlignment="1">
      <alignment horizontal="center"/>
    </xf>
    <xf numFmtId="166" fontId="10" fillId="3" borderId="3" xfId="1" applyNumberFormat="1" applyFont="1" applyFill="1" applyBorder="1"/>
    <xf numFmtId="166" fontId="10" fillId="3" borderId="3" xfId="1" applyNumberFormat="1" applyFont="1" applyFill="1" applyBorder="1" applyAlignment="1">
      <alignment wrapText="1"/>
    </xf>
    <xf numFmtId="0" fontId="11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top" wrapText="1"/>
    </xf>
    <xf numFmtId="0" fontId="23" fillId="6" borderId="10" xfId="0" applyFont="1" applyFill="1" applyBorder="1" applyAlignment="1">
      <alignment vertical="top" wrapText="1"/>
    </xf>
    <xf numFmtId="0" fontId="23" fillId="6" borderId="10" xfId="0" applyFont="1" applyFill="1" applyBorder="1" applyAlignment="1">
      <alignment horizontal="center" vertical="top" wrapText="1"/>
    </xf>
    <xf numFmtId="0" fontId="22" fillId="0" borderId="10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64" fontId="11" fillId="0" borderId="0" xfId="1" applyNumberFormat="1" applyFont="1" applyBorder="1" applyAlignment="1">
      <alignment horizontal="left" vertical="center"/>
    </xf>
    <xf numFmtId="167" fontId="11" fillId="0" borderId="5" xfId="0" applyNumberFormat="1" applyFont="1" applyBorder="1"/>
    <xf numFmtId="167" fontId="10" fillId="0" borderId="5" xfId="0" applyNumberFormat="1" applyFont="1" applyBorder="1"/>
    <xf numFmtId="0" fontId="11" fillId="0" borderId="0" xfId="0" applyFont="1" applyAlignment="1">
      <alignment horizontal="left"/>
    </xf>
    <xf numFmtId="164" fontId="11" fillId="0" borderId="0" xfId="1" applyNumberFormat="1" applyFont="1" applyBorder="1" applyAlignment="1">
      <alignment horizontal="left"/>
    </xf>
    <xf numFmtId="0" fontId="11" fillId="0" borderId="0" xfId="0" applyFont="1" applyAlignment="1">
      <alignment horizontal="left" wrapText="1"/>
    </xf>
    <xf numFmtId="1" fontId="11" fillId="0" borderId="10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wrapText="1"/>
    </xf>
    <xf numFmtId="167" fontId="11" fillId="0" borderId="10" xfId="0" applyNumberFormat="1" applyFont="1" applyBorder="1" applyAlignment="1">
      <alignment vertical="center" shrinkToFit="1"/>
    </xf>
    <xf numFmtId="169" fontId="11" fillId="0" borderId="10" xfId="0" applyNumberFormat="1" applyFont="1" applyBorder="1" applyAlignment="1">
      <alignment vertical="center" shrinkToFit="1"/>
    </xf>
    <xf numFmtId="2" fontId="11" fillId="3" borderId="10" xfId="0" applyNumberFormat="1" applyFont="1" applyFill="1" applyBorder="1" applyAlignment="1">
      <alignment vertical="center" shrinkToFit="1"/>
    </xf>
    <xf numFmtId="168" fontId="11" fillId="0" borderId="10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2" fontId="11" fillId="0" borderId="10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horizontal="left" vertical="center" wrapText="1"/>
    </xf>
    <xf numFmtId="0" fontId="11" fillId="5" borderId="10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vertical="center" shrinkToFit="1"/>
    </xf>
    <xf numFmtId="165" fontId="11" fillId="0" borderId="6" xfId="2" applyNumberFormat="1" applyFont="1" applyBorder="1"/>
    <xf numFmtId="2" fontId="11" fillId="3" borderId="20" xfId="0" applyNumberFormat="1" applyFont="1" applyFill="1" applyBorder="1" applyAlignment="1">
      <alignment vertical="center" shrinkToFit="1"/>
    </xf>
    <xf numFmtId="2" fontId="11" fillId="3" borderId="12" xfId="0" applyNumberFormat="1" applyFont="1" applyFill="1" applyBorder="1" applyAlignment="1">
      <alignment vertical="center" shrinkToFit="1"/>
    </xf>
    <xf numFmtId="2" fontId="11" fillId="3" borderId="21" xfId="0" applyNumberFormat="1" applyFont="1" applyFill="1" applyBorder="1" applyAlignment="1">
      <alignment vertical="center" shrinkToFit="1"/>
    </xf>
    <xf numFmtId="2" fontId="11" fillId="3" borderId="22" xfId="0" applyNumberFormat="1" applyFont="1" applyFill="1" applyBorder="1" applyAlignment="1">
      <alignment vertical="center" shrinkToFit="1"/>
    </xf>
    <xf numFmtId="2" fontId="11" fillId="3" borderId="11" xfId="0" applyNumberFormat="1" applyFont="1" applyFill="1" applyBorder="1" applyAlignment="1">
      <alignment vertical="center" shrinkToFit="1"/>
    </xf>
    <xf numFmtId="0" fontId="23" fillId="3" borderId="10" xfId="0" applyFont="1" applyFill="1" applyBorder="1" applyAlignment="1">
      <alignment horizontal="center" vertical="top" wrapText="1"/>
    </xf>
    <xf numFmtId="0" fontId="23" fillId="3" borderId="13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left" vertical="top" wrapText="1"/>
    </xf>
    <xf numFmtId="164" fontId="23" fillId="3" borderId="1" xfId="1" applyNumberFormat="1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167" fontId="10" fillId="0" borderId="10" xfId="0" applyNumberFormat="1" applyFont="1" applyBorder="1" applyAlignment="1">
      <alignment vertical="center" shrinkToFit="1"/>
    </xf>
    <xf numFmtId="0" fontId="11" fillId="0" borderId="10" xfId="0" quotePrefix="1" applyFont="1" applyBorder="1" applyAlignment="1">
      <alignment vertical="center"/>
    </xf>
    <xf numFmtId="164" fontId="10" fillId="0" borderId="3" xfId="1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/>
    </xf>
    <xf numFmtId="2" fontId="11" fillId="3" borderId="15" xfId="0" applyNumberFormat="1" applyFont="1" applyFill="1" applyBorder="1" applyAlignment="1">
      <alignment vertical="center" shrinkToFit="1"/>
    </xf>
    <xf numFmtId="0" fontId="11" fillId="0" borderId="15" xfId="0" applyFont="1" applyBorder="1" applyAlignment="1">
      <alignment vertical="center"/>
    </xf>
    <xf numFmtId="1" fontId="11" fillId="0" borderId="15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vertical="center" wrapText="1"/>
    </xf>
    <xf numFmtId="167" fontId="11" fillId="0" borderId="15" xfId="0" applyNumberFormat="1" applyFont="1" applyBorder="1" applyAlignment="1">
      <alignment vertical="center" shrinkToFit="1"/>
    </xf>
    <xf numFmtId="167" fontId="10" fillId="0" borderId="15" xfId="0" applyNumberFormat="1" applyFont="1" applyBorder="1" applyAlignment="1">
      <alignment vertical="center" shrinkToFit="1"/>
    </xf>
    <xf numFmtId="2" fontId="11" fillId="0" borderId="15" xfId="0" applyNumberFormat="1" applyFont="1" applyBorder="1" applyAlignment="1">
      <alignment vertical="center" shrinkToFit="1"/>
    </xf>
    <xf numFmtId="168" fontId="11" fillId="0" borderId="15" xfId="0" applyNumberFormat="1" applyFont="1" applyBorder="1" applyAlignment="1">
      <alignment vertical="center" shrinkToFit="1"/>
    </xf>
    <xf numFmtId="0" fontId="11" fillId="0" borderId="15" xfId="0" applyFont="1" applyBorder="1" applyAlignment="1">
      <alignment horizontal="left" vertical="center"/>
    </xf>
    <xf numFmtId="0" fontId="11" fillId="0" borderId="12" xfId="0" applyFont="1" applyBorder="1" applyAlignment="1">
      <alignment vertical="center"/>
    </xf>
    <xf numFmtId="0" fontId="11" fillId="0" borderId="12" xfId="0" quotePrefix="1" applyFont="1" applyBorder="1" applyAlignment="1">
      <alignment vertical="center"/>
    </xf>
    <xf numFmtId="1" fontId="11" fillId="0" borderId="12" xfId="0" applyNumberFormat="1" applyFont="1" applyBorder="1" applyAlignment="1">
      <alignment horizontal="center" vertical="center" shrinkToFit="1"/>
    </xf>
    <xf numFmtId="0" fontId="11" fillId="0" borderId="12" xfId="0" applyFont="1" applyBorder="1" applyAlignment="1">
      <alignment vertical="center" wrapText="1"/>
    </xf>
    <xf numFmtId="167" fontId="11" fillId="0" borderId="12" xfId="0" applyNumberFormat="1" applyFont="1" applyBorder="1" applyAlignment="1">
      <alignment vertical="center" shrinkToFit="1"/>
    </xf>
    <xf numFmtId="167" fontId="10" fillId="0" borderId="12" xfId="0" applyNumberFormat="1" applyFont="1" applyBorder="1" applyAlignment="1">
      <alignment vertical="center" shrinkToFit="1"/>
    </xf>
    <xf numFmtId="1" fontId="11" fillId="0" borderId="12" xfId="0" applyNumberFormat="1" applyFont="1" applyBorder="1" applyAlignment="1">
      <alignment vertical="center" shrinkToFit="1"/>
    </xf>
    <xf numFmtId="168" fontId="11" fillId="0" borderId="12" xfId="0" applyNumberFormat="1" applyFont="1" applyBorder="1" applyAlignment="1">
      <alignment vertical="center" shrinkToFi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0" xfId="3" applyFont="1" applyFill="1"/>
    <xf numFmtId="0" fontId="11" fillId="0" borderId="0" xfId="0" applyFont="1" applyFill="1" applyAlignment="1">
      <alignment horizontal="left" wrapText="1"/>
    </xf>
    <xf numFmtId="0" fontId="1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8" fontId="11" fillId="0" borderId="10" xfId="0" applyNumberFormat="1" applyFont="1" applyBorder="1" applyAlignment="1">
      <alignment horizontal="center" vertical="center" shrinkToFit="1"/>
    </xf>
    <xf numFmtId="0" fontId="11" fillId="5" borderId="10" xfId="0" applyFont="1" applyFill="1" applyBorder="1" applyAlignment="1">
      <alignment horizontal="left" vertical="center" wrapText="1"/>
    </xf>
    <xf numFmtId="0" fontId="11" fillId="5" borderId="10" xfId="0" quotePrefix="1" applyFont="1" applyFill="1" applyBorder="1" applyAlignment="1">
      <alignment horizontal="left" vertical="center" wrapText="1"/>
    </xf>
    <xf numFmtId="170" fontId="11" fillId="0" borderId="10" xfId="0" applyNumberFormat="1" applyFont="1" applyBorder="1" applyAlignment="1">
      <alignment vertical="center" shrinkToFit="1"/>
    </xf>
    <xf numFmtId="0" fontId="11" fillId="5" borderId="10" xfId="0" quotePrefix="1" applyFont="1" applyFill="1" applyBorder="1" applyAlignment="1">
      <alignment horizontal="left" vertical="center"/>
    </xf>
    <xf numFmtId="0" fontId="11" fillId="0" borderId="10" xfId="0" quotePrefix="1" applyFont="1" applyBorder="1" applyAlignment="1">
      <alignment horizontal="left" vertical="center"/>
    </xf>
    <xf numFmtId="0" fontId="11" fillId="0" borderId="16" xfId="0" applyFont="1" applyBorder="1" applyAlignment="1">
      <alignment horizontal="right"/>
    </xf>
    <xf numFmtId="9" fontId="11" fillId="0" borderId="16" xfId="5" applyFont="1" applyBorder="1" applyAlignment="1">
      <alignment horizontal="center"/>
    </xf>
    <xf numFmtId="0" fontId="11" fillId="0" borderId="17" xfId="0" applyFont="1" applyBorder="1" applyAlignment="1">
      <alignment horizontal="right"/>
    </xf>
    <xf numFmtId="9" fontId="11" fillId="0" borderId="17" xfId="5" applyFont="1" applyBorder="1" applyAlignment="1">
      <alignment horizontal="center"/>
    </xf>
    <xf numFmtId="0" fontId="10" fillId="3" borderId="10" xfId="0" applyFont="1" applyFill="1" applyBorder="1" applyAlignment="1">
      <alignment vertical="top" wrapText="1"/>
    </xf>
    <xf numFmtId="0" fontId="10" fillId="6" borderId="10" xfId="0" applyFont="1" applyFill="1" applyBorder="1" applyAlignment="1">
      <alignment vertical="top" wrapText="1"/>
    </xf>
    <xf numFmtId="0" fontId="10" fillId="6" borderId="10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164" fontId="10" fillId="3" borderId="1" xfId="1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165" fontId="10" fillId="6" borderId="10" xfId="2" applyNumberFormat="1" applyFont="1" applyFill="1" applyBorder="1" applyAlignment="1">
      <alignment vertical="top" wrapText="1"/>
    </xf>
    <xf numFmtId="165" fontId="10" fillId="0" borderId="10" xfId="2" applyNumberFormat="1" applyFont="1" applyBorder="1" applyAlignment="1">
      <alignment vertical="center" shrinkToFit="1"/>
    </xf>
    <xf numFmtId="165" fontId="10" fillId="0" borderId="0" xfId="2" applyNumberFormat="1" applyFont="1" applyAlignment="1">
      <alignment vertical="center"/>
    </xf>
    <xf numFmtId="165" fontId="10" fillId="0" borderId="5" xfId="2" applyNumberFormat="1" applyFont="1" applyBorder="1"/>
    <xf numFmtId="165" fontId="10" fillId="0" borderId="0" xfId="2" applyNumberFormat="1" applyFont="1"/>
    <xf numFmtId="165" fontId="10" fillId="0" borderId="16" xfId="2" applyNumberFormat="1" applyFont="1" applyBorder="1"/>
    <xf numFmtId="165" fontId="10" fillId="0" borderId="17" xfId="2" applyNumberFormat="1" applyFont="1" applyBorder="1"/>
    <xf numFmtId="0" fontId="26" fillId="5" borderId="0" xfId="3" applyFont="1" applyFill="1"/>
    <xf numFmtId="0" fontId="26" fillId="0" borderId="0" xfId="0" applyFont="1"/>
    <xf numFmtId="0" fontId="11" fillId="0" borderId="24" xfId="0" applyFont="1" applyBorder="1" applyAlignment="1">
      <alignment horizontal="left" vertical="center"/>
    </xf>
    <xf numFmtId="0" fontId="26" fillId="0" borderId="1" xfId="3" applyFont="1" applyBorder="1"/>
    <xf numFmtId="0" fontId="11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left" wrapText="1"/>
    </xf>
    <xf numFmtId="0" fontId="11" fillId="0" borderId="10" xfId="0" quotePrefix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165" fontId="10" fillId="0" borderId="15" xfId="2" applyNumberFormat="1" applyFont="1" applyBorder="1" applyAlignment="1">
      <alignment vertical="center" shrinkToFit="1"/>
    </xf>
    <xf numFmtId="1" fontId="11" fillId="0" borderId="15" xfId="0" applyNumberFormat="1" applyFont="1" applyBorder="1" applyAlignment="1">
      <alignment vertical="center" shrinkToFit="1"/>
    </xf>
    <xf numFmtId="168" fontId="11" fillId="0" borderId="15" xfId="0" applyNumberFormat="1" applyFont="1" applyBorder="1" applyAlignment="1">
      <alignment horizontal="center" vertical="center" shrinkToFit="1"/>
    </xf>
    <xf numFmtId="165" fontId="10" fillId="0" borderId="12" xfId="2" applyNumberFormat="1" applyFont="1" applyBorder="1" applyAlignment="1">
      <alignment vertical="center" shrinkToFit="1"/>
    </xf>
    <xf numFmtId="0" fontId="10" fillId="0" borderId="3" xfId="0" applyFont="1" applyBorder="1" applyAlignment="1">
      <alignment horizontal="left"/>
    </xf>
    <xf numFmtId="0" fontId="3" fillId="3" borderId="3" xfId="0" applyFont="1" applyFill="1" applyBorder="1" applyAlignment="1">
      <alignment horizontal="left" vertical="center"/>
    </xf>
    <xf numFmtId="0" fontId="3" fillId="3" borderId="3" xfId="1" applyNumberFormat="1" applyFont="1" applyFill="1" applyBorder="1" applyAlignment="1">
      <alignment horizontal="left" vertical="center" wrapText="1"/>
    </xf>
    <xf numFmtId="14" fontId="6" fillId="3" borderId="6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wrapText="1"/>
    </xf>
    <xf numFmtId="164" fontId="11" fillId="0" borderId="1" xfId="1" applyNumberFormat="1" applyFont="1" applyBorder="1"/>
    <xf numFmtId="0" fontId="10" fillId="0" borderId="4" xfId="0" applyFont="1" applyBorder="1" applyAlignment="1">
      <alignment vertical="top" wrapText="1"/>
    </xf>
    <xf numFmtId="166" fontId="11" fillId="3" borderId="1" xfId="1" applyNumberFormat="1" applyFont="1" applyFill="1" applyBorder="1" applyAlignment="1">
      <alignment horizontal="center"/>
    </xf>
    <xf numFmtId="166" fontId="11" fillId="3" borderId="2" xfId="1" applyNumberFormat="1" applyFont="1" applyFill="1" applyBorder="1" applyAlignment="1">
      <alignment horizontal="center"/>
    </xf>
    <xf numFmtId="166" fontId="11" fillId="0" borderId="0" xfId="1" applyNumberFormat="1" applyFont="1" applyAlignment="1">
      <alignment horizontal="center"/>
    </xf>
    <xf numFmtId="164" fontId="10" fillId="3" borderId="1" xfId="1" applyNumberFormat="1" applyFont="1" applyFill="1" applyBorder="1"/>
    <xf numFmtId="164" fontId="10" fillId="3" borderId="2" xfId="1" applyNumberFormat="1" applyFont="1" applyFill="1" applyBorder="1"/>
    <xf numFmtId="164" fontId="10" fillId="0" borderId="0" xfId="1" applyNumberFormat="1" applyFont="1"/>
    <xf numFmtId="0" fontId="10" fillId="3" borderId="3" xfId="0" applyFont="1" applyFill="1" applyBorder="1" applyAlignment="1">
      <alignment horizontal="center"/>
    </xf>
    <xf numFmtId="0" fontId="11" fillId="0" borderId="14" xfId="0" quotePrefix="1" applyFont="1" applyBorder="1" applyAlignment="1">
      <alignment horizontal="left" vertical="center"/>
    </xf>
    <xf numFmtId="0" fontId="11" fillId="0" borderId="12" xfId="0" quotePrefix="1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68" fontId="11" fillId="0" borderId="2" xfId="0" applyNumberFormat="1" applyFont="1" applyBorder="1" applyAlignment="1">
      <alignment vertical="center" shrinkToFit="1"/>
    </xf>
    <xf numFmtId="1" fontId="11" fillId="0" borderId="2" xfId="0" applyNumberFormat="1" applyFont="1" applyBorder="1" applyAlignment="1">
      <alignment horizontal="center" vertical="center" shrinkToFit="1"/>
    </xf>
    <xf numFmtId="0" fontId="11" fillId="0" borderId="2" xfId="0" applyFont="1" applyBorder="1" applyAlignment="1">
      <alignment vertical="center" wrapText="1"/>
    </xf>
    <xf numFmtId="167" fontId="11" fillId="0" borderId="2" xfId="0" applyNumberFormat="1" applyFont="1" applyBorder="1" applyAlignment="1">
      <alignment vertical="center" shrinkToFit="1"/>
    </xf>
    <xf numFmtId="167" fontId="10" fillId="0" borderId="2" xfId="0" applyNumberFormat="1" applyFont="1" applyBorder="1" applyAlignment="1">
      <alignment vertical="center" shrinkToFit="1"/>
    </xf>
    <xf numFmtId="2" fontId="11" fillId="0" borderId="2" xfId="0" applyNumberFormat="1" applyFont="1" applyBorder="1" applyAlignment="1">
      <alignment vertical="center" shrinkToFit="1"/>
    </xf>
    <xf numFmtId="2" fontId="11" fillId="3" borderId="2" xfId="0" applyNumberFormat="1" applyFont="1" applyFill="1" applyBorder="1" applyAlignment="1">
      <alignment vertical="center" shrinkToFit="1"/>
    </xf>
    <xf numFmtId="2" fontId="11" fillId="5" borderId="2" xfId="0" applyNumberFormat="1" applyFont="1" applyFill="1" applyBorder="1" applyAlignment="1">
      <alignment horizontal="right" vertical="center" shrinkToFit="1"/>
    </xf>
    <xf numFmtId="0" fontId="11" fillId="5" borderId="2" xfId="0" applyFont="1" applyFill="1" applyBorder="1" applyAlignment="1">
      <alignment vertical="center" wrapText="1"/>
    </xf>
    <xf numFmtId="0" fontId="11" fillId="0" borderId="2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68" fontId="11" fillId="0" borderId="1" xfId="0" applyNumberFormat="1" applyFont="1" applyFill="1" applyBorder="1" applyAlignment="1">
      <alignment vertical="center" shrinkToFit="1"/>
    </xf>
    <xf numFmtId="1" fontId="11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wrapText="1"/>
    </xf>
    <xf numFmtId="167" fontId="11" fillId="0" borderId="1" xfId="0" applyNumberFormat="1" applyFont="1" applyBorder="1" applyAlignment="1">
      <alignment vertical="center" shrinkToFit="1"/>
    </xf>
    <xf numFmtId="167" fontId="10" fillId="0" borderId="1" xfId="0" applyNumberFormat="1" applyFont="1" applyBorder="1" applyAlignment="1">
      <alignment vertical="center" shrinkToFit="1"/>
    </xf>
    <xf numFmtId="2" fontId="11" fillId="0" borderId="1" xfId="0" applyNumberFormat="1" applyFont="1" applyBorder="1" applyAlignment="1">
      <alignment vertical="center" shrinkToFit="1"/>
    </xf>
    <xf numFmtId="2" fontId="11" fillId="3" borderId="1" xfId="0" applyNumberFormat="1" applyFont="1" applyFill="1" applyBorder="1" applyAlignment="1">
      <alignment vertical="center" shrinkToFit="1"/>
    </xf>
    <xf numFmtId="2" fontId="11" fillId="5" borderId="1" xfId="0" applyNumberFormat="1" applyFont="1" applyFill="1" applyBorder="1" applyAlignment="1">
      <alignment horizontal="right" vertical="center" shrinkToFit="1"/>
    </xf>
    <xf numFmtId="0" fontId="22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168" fontId="11" fillId="0" borderId="3" xfId="0" applyNumberFormat="1" applyFont="1" applyFill="1" applyBorder="1" applyAlignment="1">
      <alignment vertical="center" shrinkToFit="1"/>
    </xf>
    <xf numFmtId="1" fontId="11" fillId="0" borderId="3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vertical="center" wrapText="1"/>
    </xf>
    <xf numFmtId="167" fontId="11" fillId="0" borderId="3" xfId="0" applyNumberFormat="1" applyFont="1" applyBorder="1" applyAlignment="1">
      <alignment vertical="center" shrinkToFit="1"/>
    </xf>
    <xf numFmtId="167" fontId="10" fillId="0" borderId="3" xfId="0" applyNumberFormat="1" applyFont="1" applyBorder="1" applyAlignment="1">
      <alignment vertical="center" shrinkToFit="1"/>
    </xf>
    <xf numFmtId="2" fontId="11" fillId="0" borderId="3" xfId="0" applyNumberFormat="1" applyFont="1" applyBorder="1" applyAlignment="1">
      <alignment vertical="center" shrinkToFit="1"/>
    </xf>
    <xf numFmtId="2" fontId="11" fillId="3" borderId="3" xfId="0" applyNumberFormat="1" applyFont="1" applyFill="1" applyBorder="1" applyAlignment="1">
      <alignment vertical="center" shrinkToFit="1"/>
    </xf>
    <xf numFmtId="2" fontId="11" fillId="5" borderId="3" xfId="0" applyNumberFormat="1" applyFont="1" applyFill="1" applyBorder="1" applyAlignment="1">
      <alignment horizontal="right" vertical="center" shrinkToFit="1"/>
    </xf>
    <xf numFmtId="0" fontId="22" fillId="0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vertical="center"/>
    </xf>
    <xf numFmtId="0" fontId="11" fillId="0" borderId="1" xfId="0" quotePrefix="1" applyFont="1" applyBorder="1" applyAlignment="1">
      <alignment vertical="center"/>
    </xf>
    <xf numFmtId="0" fontId="11" fillId="0" borderId="14" xfId="0" quotePrefix="1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center" vertical="top" wrapText="1"/>
    </xf>
    <xf numFmtId="0" fontId="23" fillId="3" borderId="12" xfId="0" applyFont="1" applyFill="1" applyBorder="1" applyAlignment="1">
      <alignment horizontal="center" vertical="center"/>
    </xf>
    <xf numFmtId="0" fontId="11" fillId="0" borderId="15" xfId="0" quotePrefix="1" applyFont="1" applyBorder="1" applyAlignment="1">
      <alignment horizontal="left" vertical="center"/>
    </xf>
    <xf numFmtId="165" fontId="10" fillId="0" borderId="2" xfId="2" applyNumberFormat="1" applyFont="1" applyBorder="1" applyAlignment="1">
      <alignment vertical="center" shrinkToFit="1"/>
    </xf>
    <xf numFmtId="2" fontId="11" fillId="3" borderId="2" xfId="0" applyNumberFormat="1" applyFont="1" applyFill="1" applyBorder="1" applyAlignment="1">
      <alignment horizontal="right" vertical="center" shrinkToFit="1"/>
    </xf>
    <xf numFmtId="0" fontId="11" fillId="0" borderId="2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168" fontId="11" fillId="0" borderId="1" xfId="0" applyNumberFormat="1" applyFont="1" applyBorder="1" applyAlignment="1">
      <alignment vertical="center" shrinkToFit="1"/>
    </xf>
    <xf numFmtId="165" fontId="10" fillId="0" borderId="1" xfId="2" applyNumberFormat="1" applyFont="1" applyBorder="1" applyAlignment="1">
      <alignment vertical="center" shrinkToFit="1"/>
    </xf>
    <xf numFmtId="2" fontId="11" fillId="3" borderId="1" xfId="0" applyNumberFormat="1" applyFont="1" applyFill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 wrapText="1"/>
    </xf>
    <xf numFmtId="168" fontId="11" fillId="0" borderId="3" xfId="0" applyNumberFormat="1" applyFont="1" applyBorder="1" applyAlignment="1">
      <alignment vertical="center" shrinkToFit="1"/>
    </xf>
    <xf numFmtId="165" fontId="10" fillId="0" borderId="3" xfId="2" applyNumberFormat="1" applyFont="1" applyBorder="1" applyAlignment="1">
      <alignment vertical="center" shrinkToFit="1"/>
    </xf>
    <xf numFmtId="2" fontId="11" fillId="3" borderId="3" xfId="0" applyNumberFormat="1" applyFont="1" applyFill="1" applyBorder="1" applyAlignment="1">
      <alignment horizontal="right" vertical="center" shrinkToFi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15" xfId="0" quotePrefix="1" applyFont="1" applyBorder="1" applyAlignment="1">
      <alignment vertical="center" wrapText="1"/>
    </xf>
    <xf numFmtId="0" fontId="11" fillId="0" borderId="10" xfId="0" quotePrefix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 wrapText="1"/>
    </xf>
    <xf numFmtId="0" fontId="10" fillId="0" borderId="4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Alignment="1">
      <alignment horizontal="center"/>
    </xf>
    <xf numFmtId="0" fontId="10" fillId="3" borderId="10" xfId="0" quotePrefix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quotePrefix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horizontal="center" vertical="center"/>
    </xf>
    <xf numFmtId="0" fontId="10" fillId="3" borderId="3" xfId="0" quotePrefix="1" applyFont="1" applyFill="1" applyBorder="1" applyAlignment="1">
      <alignment horizontal="center" vertical="center"/>
    </xf>
    <xf numFmtId="0" fontId="10" fillId="3" borderId="12" xfId="0" quotePrefix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8" fillId="5" borderId="0" xfId="3" applyFont="1" applyFill="1"/>
    <xf numFmtId="0" fontId="28" fillId="0" borderId="0" xfId="0" applyFont="1"/>
    <xf numFmtId="0" fontId="28" fillId="0" borderId="1" xfId="3" applyFont="1" applyBorder="1"/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0" fontId="10" fillId="0" borderId="3" xfId="0" applyFont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166" fontId="10" fillId="0" borderId="3" xfId="1" applyNumberFormat="1" applyFont="1" applyBorder="1" applyAlignment="1">
      <alignment vertical="top"/>
    </xf>
    <xf numFmtId="166" fontId="10" fillId="0" borderId="3" xfId="1" applyNumberFormat="1" applyFont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left" textRotation="90" wrapText="1"/>
    </xf>
    <xf numFmtId="166" fontId="10" fillId="3" borderId="3" xfId="1" applyNumberFormat="1" applyFont="1" applyFill="1" applyBorder="1" applyAlignment="1">
      <alignment horizontal="center" vertical="top" wrapText="1"/>
    </xf>
    <xf numFmtId="164" fontId="3" fillId="3" borderId="3" xfId="1" applyNumberFormat="1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164" fontId="3" fillId="3" borderId="19" xfId="1" applyNumberFormat="1" applyFont="1" applyFill="1" applyBorder="1" applyAlignment="1">
      <alignment horizontal="left" vertical="top" wrapText="1"/>
    </xf>
    <xf numFmtId="0" fontId="10" fillId="3" borderId="19" xfId="0" applyFont="1" applyFill="1" applyBorder="1" applyAlignment="1">
      <alignment vertical="top" wrapText="1"/>
    </xf>
    <xf numFmtId="0" fontId="23" fillId="3" borderId="0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4" xfId="0" quotePrefix="1" applyFont="1" applyFill="1" applyBorder="1" applyAlignment="1">
      <alignment horizontal="center" vertical="center"/>
    </xf>
    <xf numFmtId="0" fontId="10" fillId="3" borderId="23" xfId="0" quotePrefix="1" applyFont="1" applyFill="1" applyBorder="1" applyAlignment="1">
      <alignment horizontal="center" vertical="center"/>
    </xf>
    <xf numFmtId="165" fontId="11" fillId="0" borderId="0" xfId="2" applyNumberFormat="1" applyFont="1"/>
    <xf numFmtId="165" fontId="10" fillId="0" borderId="3" xfId="2" applyNumberFormat="1" applyFont="1" applyBorder="1" applyAlignment="1">
      <alignment vertical="top" wrapText="1"/>
    </xf>
    <xf numFmtId="165" fontId="12" fillId="0" borderId="1" xfId="2" applyNumberFormat="1" applyFont="1" applyBorder="1"/>
    <xf numFmtId="0" fontId="10" fillId="0" borderId="3" xfId="1" applyNumberFormat="1" applyFont="1" applyBorder="1" applyAlignment="1">
      <alignment horizontal="center" vertical="top" wrapText="1"/>
    </xf>
    <xf numFmtId="0" fontId="11" fillId="0" borderId="1" xfId="0" quotePrefix="1" applyFont="1" applyFill="1" applyBorder="1"/>
    <xf numFmtId="0" fontId="12" fillId="0" borderId="1" xfId="0" quotePrefix="1" applyFont="1" applyFill="1" applyBorder="1"/>
    <xf numFmtId="0" fontId="10" fillId="0" borderId="1" xfId="1" applyNumberFormat="1" applyFont="1" applyBorder="1" applyAlignment="1">
      <alignment horizontal="center"/>
    </xf>
    <xf numFmtId="0" fontId="10" fillId="3" borderId="0" xfId="0" applyFont="1" applyFill="1" applyBorder="1" applyAlignment="1">
      <alignment horizontal="center" vertical="top" wrapText="1"/>
    </xf>
    <xf numFmtId="0" fontId="10" fillId="3" borderId="3" xfId="1" applyNumberFormat="1" applyFont="1" applyFill="1" applyBorder="1" applyAlignment="1">
      <alignment horizontal="center" vertical="top" wrapText="1"/>
    </xf>
    <xf numFmtId="0" fontId="11" fillId="3" borderId="1" xfId="1" applyNumberFormat="1" applyFont="1" applyFill="1" applyBorder="1" applyAlignment="1">
      <alignment horizontal="center"/>
    </xf>
    <xf numFmtId="0" fontId="11" fillId="3" borderId="2" xfId="1" applyNumberFormat="1" applyFont="1" applyFill="1" applyBorder="1" applyAlignment="1">
      <alignment horizontal="center"/>
    </xf>
    <xf numFmtId="0" fontId="11" fillId="0" borderId="0" xfId="1" applyNumberFormat="1" applyFont="1" applyAlignment="1">
      <alignment horizontal="center"/>
    </xf>
    <xf numFmtId="0" fontId="11" fillId="0" borderId="1" xfId="0" quotePrefix="1" applyFont="1" applyBorder="1"/>
    <xf numFmtId="164" fontId="23" fillId="0" borderId="1" xfId="0" applyNumberFormat="1" applyFont="1" applyBorder="1" applyAlignment="1">
      <alignment horizontal="center"/>
    </xf>
    <xf numFmtId="0" fontId="22" fillId="0" borderId="1" xfId="0" applyFont="1" applyFill="1" applyBorder="1"/>
    <xf numFmtId="164" fontId="22" fillId="0" borderId="1" xfId="1" applyNumberFormat="1" applyFont="1" applyBorder="1"/>
    <xf numFmtId="166" fontId="22" fillId="0" borderId="1" xfId="1" applyNumberFormat="1" applyFont="1" applyBorder="1"/>
    <xf numFmtId="0" fontId="23" fillId="3" borderId="1" xfId="0" applyFont="1" applyFill="1" applyBorder="1"/>
    <xf numFmtId="166" fontId="22" fillId="3" borderId="1" xfId="1" applyNumberFormat="1" applyFont="1" applyFill="1" applyBorder="1" applyAlignment="1">
      <alignment horizontal="center"/>
    </xf>
    <xf numFmtId="164" fontId="23" fillId="3" borderId="1" xfId="1" applyNumberFormat="1" applyFont="1" applyFill="1" applyBorder="1"/>
    <xf numFmtId="0" fontId="22" fillId="3" borderId="1" xfId="0" applyFont="1" applyFill="1" applyBorder="1" applyAlignment="1">
      <alignment horizontal="center"/>
    </xf>
    <xf numFmtId="164" fontId="22" fillId="3" borderId="1" xfId="1" applyNumberFormat="1" applyFont="1" applyFill="1" applyBorder="1"/>
    <xf numFmtId="0" fontId="22" fillId="0" borderId="0" xfId="0" applyFont="1"/>
    <xf numFmtId="164" fontId="10" fillId="0" borderId="2" xfId="0" applyNumberFormat="1" applyFont="1" applyBorder="1" applyAlignment="1">
      <alignment horizontal="center"/>
    </xf>
    <xf numFmtId="0" fontId="10" fillId="0" borderId="2" xfId="1" applyNumberFormat="1" applyFont="1" applyBorder="1" applyAlignment="1">
      <alignment horizontal="center"/>
    </xf>
    <xf numFmtId="0" fontId="11" fillId="3" borderId="1" xfId="0" quotePrefix="1" applyFont="1" applyFill="1" applyBorder="1"/>
    <xf numFmtId="0" fontId="11" fillId="3" borderId="1" xfId="1" quotePrefix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0" fillId="0" borderId="1" xfId="1" quotePrefix="1" applyNumberFormat="1" applyFont="1" applyBorder="1" applyAlignment="1">
      <alignment horizontal="center"/>
    </xf>
    <xf numFmtId="0" fontId="23" fillId="0" borderId="1" xfId="1" applyNumberFormat="1" applyFont="1" applyBorder="1" applyAlignment="1">
      <alignment horizontal="center"/>
    </xf>
    <xf numFmtId="0" fontId="22" fillId="3" borderId="1" xfId="1" applyNumberFormat="1" applyFont="1" applyFill="1" applyBorder="1" applyAlignment="1">
      <alignment horizontal="center"/>
    </xf>
    <xf numFmtId="14" fontId="6" fillId="3" borderId="6" xfId="0" quotePrefix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34" fillId="8" borderId="0" xfId="0" applyFont="1" applyFill="1" applyAlignment="1">
      <alignment horizontal="left" vertical="top"/>
    </xf>
    <xf numFmtId="0" fontId="25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33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 wrapText="1" indent="1"/>
    </xf>
    <xf numFmtId="0" fontId="30" fillId="0" borderId="0" xfId="0" applyFont="1" applyAlignment="1">
      <alignment horizontal="center" vertical="top"/>
    </xf>
    <xf numFmtId="165" fontId="30" fillId="0" borderId="0" xfId="2" applyNumberFormat="1" applyFont="1" applyAlignment="1">
      <alignment vertical="top"/>
    </xf>
    <xf numFmtId="0" fontId="30" fillId="0" borderId="0" xfId="0" applyFont="1" applyAlignment="1">
      <alignment horizontal="left" vertical="top" indent="1"/>
    </xf>
    <xf numFmtId="0" fontId="33" fillId="0" borderId="0" xfId="0" applyFont="1" applyAlignment="1">
      <alignment horizontal="center" vertical="top"/>
    </xf>
    <xf numFmtId="0" fontId="33" fillId="0" borderId="31" xfId="0" applyFont="1" applyBorder="1" applyAlignment="1">
      <alignment horizontal="center" vertical="top"/>
    </xf>
    <xf numFmtId="0" fontId="33" fillId="0" borderId="33" xfId="0" applyFont="1" applyBorder="1" applyAlignment="1">
      <alignment horizontal="center" vertical="top"/>
    </xf>
    <xf numFmtId="0" fontId="30" fillId="0" borderId="32" xfId="0" applyFont="1" applyBorder="1" applyAlignment="1">
      <alignment horizontal="left" vertical="top" wrapText="1" indent="1"/>
    </xf>
    <xf numFmtId="0" fontId="30" fillId="0" borderId="32" xfId="0" applyFont="1" applyBorder="1" applyAlignment="1">
      <alignment horizontal="center" vertical="top"/>
    </xf>
    <xf numFmtId="165" fontId="30" fillId="0" borderId="32" xfId="2" applyNumberFormat="1" applyFont="1" applyBorder="1" applyAlignment="1">
      <alignment vertical="top"/>
    </xf>
    <xf numFmtId="0" fontId="30" fillId="0" borderId="32" xfId="0" applyFont="1" applyBorder="1" applyAlignment="1">
      <alignment horizontal="left" vertical="top" indent="1"/>
    </xf>
    <xf numFmtId="0" fontId="33" fillId="0" borderId="34" xfId="0" applyFont="1" applyBorder="1" applyAlignment="1">
      <alignment horizontal="center" vertical="top"/>
    </xf>
    <xf numFmtId="0" fontId="30" fillId="0" borderId="35" xfId="0" applyFont="1" applyBorder="1" applyAlignment="1">
      <alignment horizontal="left" vertical="top" wrapText="1" indent="1"/>
    </xf>
    <xf numFmtId="0" fontId="30" fillId="0" borderId="35" xfId="0" applyFont="1" applyBorder="1" applyAlignment="1">
      <alignment horizontal="center" vertical="top"/>
    </xf>
    <xf numFmtId="165" fontId="30" fillId="0" borderId="35" xfId="2" applyNumberFormat="1" applyFont="1" applyBorder="1" applyAlignment="1">
      <alignment vertical="top"/>
    </xf>
    <xf numFmtId="0" fontId="30" fillId="0" borderId="35" xfId="0" applyFont="1" applyBorder="1" applyAlignment="1">
      <alignment horizontal="left" vertical="top" indent="1"/>
    </xf>
    <xf numFmtId="0" fontId="33" fillId="0" borderId="36" xfId="0" applyFont="1" applyBorder="1" applyAlignment="1">
      <alignment horizontal="center" vertical="top"/>
    </xf>
    <xf numFmtId="0" fontId="33" fillId="0" borderId="0" xfId="0" applyFont="1" applyBorder="1" applyAlignment="1">
      <alignment horizontal="center" vertical="top"/>
    </xf>
    <xf numFmtId="0" fontId="30" fillId="0" borderId="0" xfId="0" applyFont="1" applyBorder="1" applyAlignment="1">
      <alignment horizontal="left" vertical="top" wrapText="1" indent="1"/>
    </xf>
    <xf numFmtId="0" fontId="30" fillId="0" borderId="0" xfId="0" applyFont="1" applyBorder="1" applyAlignment="1">
      <alignment horizontal="center" vertical="top"/>
    </xf>
    <xf numFmtId="165" fontId="30" fillId="0" borderId="0" xfId="2" applyNumberFormat="1" applyFont="1" applyBorder="1" applyAlignment="1">
      <alignment vertical="top"/>
    </xf>
    <xf numFmtId="0" fontId="30" fillId="0" borderId="0" xfId="0" applyFont="1" applyBorder="1" applyAlignment="1">
      <alignment horizontal="left" vertical="top" indent="1"/>
    </xf>
    <xf numFmtId="0" fontId="30" fillId="13" borderId="32" xfId="0" applyFont="1" applyFill="1" applyBorder="1" applyAlignment="1">
      <alignment horizontal="left" vertical="top" wrapText="1" indent="1"/>
    </xf>
    <xf numFmtId="0" fontId="30" fillId="12" borderId="32" xfId="0" applyFont="1" applyFill="1" applyBorder="1" applyAlignment="1">
      <alignment horizontal="left" vertical="top" indent="1"/>
    </xf>
    <xf numFmtId="0" fontId="30" fillId="12" borderId="35" xfId="0" applyFont="1" applyFill="1" applyBorder="1" applyAlignment="1">
      <alignment horizontal="left" vertical="top" indent="1"/>
    </xf>
    <xf numFmtId="0" fontId="30" fillId="14" borderId="32" xfId="0" applyFont="1" applyFill="1" applyBorder="1" applyAlignment="1">
      <alignment horizontal="left" vertical="top" indent="1"/>
    </xf>
    <xf numFmtId="0" fontId="30" fillId="11" borderId="32" xfId="0" applyFont="1" applyFill="1" applyBorder="1" applyAlignment="1">
      <alignment horizontal="left" vertical="top" indent="1"/>
    </xf>
    <xf numFmtId="0" fontId="30" fillId="10" borderId="32" xfId="0" applyFont="1" applyFill="1" applyBorder="1" applyAlignment="1">
      <alignment horizontal="left" vertical="top" indent="1"/>
    </xf>
    <xf numFmtId="0" fontId="31" fillId="0" borderId="0" xfId="0" applyFont="1" applyAlignment="1">
      <alignment vertical="top"/>
    </xf>
    <xf numFmtId="0" fontId="32" fillId="8" borderId="0" xfId="0" applyFont="1" applyFill="1" applyAlignment="1">
      <alignment horizontal="left" vertical="top" wrapText="1" indent="1"/>
    </xf>
    <xf numFmtId="0" fontId="32" fillId="8" borderId="0" xfId="0" applyFont="1" applyFill="1" applyAlignment="1">
      <alignment horizontal="center" vertical="top"/>
    </xf>
    <xf numFmtId="165" fontId="32" fillId="8" borderId="0" xfId="2" applyNumberFormat="1" applyFont="1" applyFill="1" applyAlignment="1">
      <alignment vertical="top"/>
    </xf>
    <xf numFmtId="0" fontId="32" fillId="8" borderId="0" xfId="0" applyFont="1" applyFill="1" applyAlignment="1">
      <alignment horizontal="left" vertical="top" indent="1"/>
    </xf>
    <xf numFmtId="17" fontId="36" fillId="8" borderId="0" xfId="0" applyNumberFormat="1" applyFont="1" applyFill="1" applyAlignment="1">
      <alignment horizontal="center" vertical="top"/>
    </xf>
    <xf numFmtId="0" fontId="32" fillId="0" borderId="0" xfId="0" applyFont="1" applyAlignment="1">
      <alignment vertical="top"/>
    </xf>
    <xf numFmtId="0" fontId="35" fillId="9" borderId="28" xfId="0" applyFont="1" applyFill="1" applyBorder="1" applyAlignment="1">
      <alignment horizontal="left" vertical="top"/>
    </xf>
    <xf numFmtId="0" fontId="31" fillId="9" borderId="29" xfId="0" applyFont="1" applyFill="1" applyBorder="1" applyAlignment="1">
      <alignment horizontal="left" vertical="top" wrapText="1" indent="1"/>
    </xf>
    <xf numFmtId="0" fontId="31" fillId="9" borderId="29" xfId="0" applyFont="1" applyFill="1" applyBorder="1" applyAlignment="1">
      <alignment horizontal="center" vertical="top"/>
    </xf>
    <xf numFmtId="165" fontId="31" fillId="9" borderId="29" xfId="2" applyNumberFormat="1" applyFont="1" applyFill="1" applyBorder="1" applyAlignment="1">
      <alignment vertical="top"/>
    </xf>
    <xf numFmtId="0" fontId="31" fillId="9" borderId="29" xfId="0" applyFont="1" applyFill="1" applyBorder="1" applyAlignment="1">
      <alignment horizontal="left" vertical="top" indent="1"/>
    </xf>
    <xf numFmtId="0" fontId="35" fillId="9" borderId="30" xfId="0" applyFont="1" applyFill="1" applyBorder="1" applyAlignment="1">
      <alignment horizontal="center" vertical="top"/>
    </xf>
    <xf numFmtId="0" fontId="10" fillId="0" borderId="6" xfId="1" quotePrefix="1" applyNumberFormat="1" applyFont="1" applyBorder="1" applyAlignment="1">
      <alignment horizontal="center"/>
    </xf>
    <xf numFmtId="0" fontId="30" fillId="15" borderId="32" xfId="0" applyFont="1" applyFill="1" applyBorder="1" applyAlignment="1">
      <alignment horizontal="left" vertical="top" wrapText="1" indent="1"/>
    </xf>
    <xf numFmtId="0" fontId="33" fillId="0" borderId="37" xfId="0" applyFont="1" applyBorder="1" applyAlignment="1">
      <alignment horizontal="center" vertical="top"/>
    </xf>
    <xf numFmtId="0" fontId="33" fillId="0" borderId="38" xfId="0" applyFont="1" applyBorder="1" applyAlignment="1">
      <alignment horizontal="center" vertical="top"/>
    </xf>
    <xf numFmtId="0" fontId="30" fillId="3" borderId="32" xfId="0" applyFont="1" applyFill="1" applyBorder="1" applyAlignment="1">
      <alignment horizontal="left" vertical="top" indent="1"/>
    </xf>
    <xf numFmtId="0" fontId="30" fillId="0" borderId="32" xfId="0" quotePrefix="1" applyFont="1" applyBorder="1" applyAlignment="1">
      <alignment horizontal="center" vertical="top"/>
    </xf>
    <xf numFmtId="164" fontId="11" fillId="0" borderId="1" xfId="1" quotePrefix="1" applyNumberFormat="1" applyFont="1" applyBorder="1"/>
    <xf numFmtId="166" fontId="11" fillId="0" borderId="1" xfId="1" quotePrefix="1" applyNumberFormat="1" applyFont="1" applyBorder="1"/>
    <xf numFmtId="164" fontId="11" fillId="0" borderId="2" xfId="1" quotePrefix="1" applyNumberFormat="1" applyFont="1" applyBorder="1"/>
    <xf numFmtId="166" fontId="11" fillId="0" borderId="2" xfId="1" quotePrefix="1" applyNumberFormat="1" applyFont="1" applyBorder="1"/>
    <xf numFmtId="165" fontId="30" fillId="0" borderId="32" xfId="2" applyNumberFormat="1" applyFont="1" applyBorder="1" applyAlignment="1">
      <alignment horizontal="center" vertical="top"/>
    </xf>
    <xf numFmtId="165" fontId="30" fillId="0" borderId="0" xfId="2" applyNumberFormat="1" applyFont="1" applyFill="1" applyBorder="1" applyAlignment="1">
      <alignment vertical="top"/>
    </xf>
    <xf numFmtId="0" fontId="30" fillId="0" borderId="32" xfId="0" applyFont="1" applyFill="1" applyBorder="1" applyAlignment="1">
      <alignment horizontal="left" vertical="top" wrapText="1" indent="1"/>
    </xf>
    <xf numFmtId="0" fontId="12" fillId="0" borderId="1" xfId="0" applyFont="1" applyFill="1" applyBorder="1"/>
    <xf numFmtId="0" fontId="12" fillId="5" borderId="6" xfId="0" applyFont="1" applyFill="1" applyBorder="1"/>
    <xf numFmtId="164" fontId="38" fillId="5" borderId="1" xfId="0" applyNumberFormat="1" applyFont="1" applyFill="1" applyBorder="1" applyAlignment="1">
      <alignment horizontal="center"/>
    </xf>
    <xf numFmtId="164" fontId="12" fillId="5" borderId="1" xfId="1" applyNumberFormat="1" applyFont="1" applyFill="1" applyBorder="1"/>
    <xf numFmtId="166" fontId="12" fillId="5" borderId="1" xfId="1" applyNumberFormat="1" applyFont="1" applyFill="1" applyBorder="1"/>
    <xf numFmtId="0" fontId="38" fillId="5" borderId="1" xfId="1" quotePrefix="1" applyNumberFormat="1" applyFont="1" applyFill="1" applyBorder="1" applyAlignment="1">
      <alignment horizontal="center"/>
    </xf>
    <xf numFmtId="165" fontId="12" fillId="5" borderId="1" xfId="2" quotePrefix="1" applyNumberFormat="1" applyFont="1" applyFill="1" applyBorder="1"/>
    <xf numFmtId="0" fontId="38" fillId="5" borderId="1" xfId="0" applyFont="1" applyFill="1" applyBorder="1"/>
    <xf numFmtId="0" fontId="12" fillId="5" borderId="1" xfId="0" applyFont="1" applyFill="1" applyBorder="1" applyAlignment="1">
      <alignment horizontal="center"/>
    </xf>
    <xf numFmtId="0" fontId="12" fillId="5" borderId="1" xfId="1" applyNumberFormat="1" applyFont="1" applyFill="1" applyBorder="1" applyAlignment="1">
      <alignment horizontal="center"/>
    </xf>
    <xf numFmtId="166" fontId="12" fillId="5" borderId="1" xfId="1" applyNumberFormat="1" applyFont="1" applyFill="1" applyBorder="1" applyAlignment="1">
      <alignment horizontal="center"/>
    </xf>
    <xf numFmtId="164" fontId="38" fillId="5" borderId="1" xfId="1" applyNumberFormat="1" applyFont="1" applyFill="1" applyBorder="1"/>
    <xf numFmtId="0" fontId="12" fillId="5" borderId="1" xfId="0" quotePrefix="1" applyFont="1" applyFill="1" applyBorder="1"/>
    <xf numFmtId="0" fontId="12" fillId="5" borderId="0" xfId="0" applyFont="1" applyFill="1"/>
    <xf numFmtId="0" fontId="38" fillId="5" borderId="1" xfId="1" applyNumberFormat="1" applyFont="1" applyFill="1" applyBorder="1" applyAlignment="1">
      <alignment horizontal="center"/>
    </xf>
    <xf numFmtId="165" fontId="12" fillId="5" borderId="1" xfId="2" applyNumberFormat="1" applyFont="1" applyFill="1" applyBorder="1"/>
    <xf numFmtId="0" fontId="5" fillId="0" borderId="0" xfId="0" applyFont="1" applyFill="1"/>
    <xf numFmtId="0" fontId="7" fillId="0" borderId="0" xfId="0" applyFont="1" applyFill="1"/>
    <xf numFmtId="0" fontId="13" fillId="0" borderId="0" xfId="0" applyFont="1" applyFill="1"/>
    <xf numFmtId="0" fontId="10" fillId="0" borderId="0" xfId="0" applyFont="1" applyFill="1" applyAlignment="1">
      <alignment vertical="top" wrapText="1"/>
    </xf>
    <xf numFmtId="164" fontId="11" fillId="0" borderId="0" xfId="1" applyNumberFormat="1" applyFont="1" applyFill="1"/>
    <xf numFmtId="0" fontId="12" fillId="0" borderId="0" xfId="0" applyFont="1" applyFill="1"/>
    <xf numFmtId="0" fontId="12" fillId="0" borderId="6" xfId="0" applyFont="1" applyFill="1" applyBorder="1"/>
    <xf numFmtId="164" fontId="38" fillId="0" borderId="1" xfId="0" applyNumberFormat="1" applyFont="1" applyFill="1" applyBorder="1" applyAlignment="1">
      <alignment horizontal="center"/>
    </xf>
    <xf numFmtId="164" fontId="12" fillId="0" borderId="1" xfId="1" applyNumberFormat="1" applyFont="1" applyFill="1" applyBorder="1"/>
    <xf numFmtId="166" fontId="12" fillId="0" borderId="1" xfId="1" applyNumberFormat="1" applyFont="1" applyFill="1" applyBorder="1"/>
    <xf numFmtId="0" fontId="38" fillId="0" borderId="1" xfId="1" quotePrefix="1" applyNumberFormat="1" applyFont="1" applyFill="1" applyBorder="1" applyAlignment="1">
      <alignment horizontal="center"/>
    </xf>
    <xf numFmtId="165" fontId="12" fillId="0" borderId="1" xfId="2" quotePrefix="1" applyNumberFormat="1" applyFont="1" applyFill="1" applyBorder="1"/>
    <xf numFmtId="0" fontId="38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1" applyNumberFormat="1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/>
    </xf>
    <xf numFmtId="164" fontId="38" fillId="0" borderId="1" xfId="1" applyNumberFormat="1" applyFont="1" applyFill="1" applyBorder="1"/>
    <xf numFmtId="0" fontId="11" fillId="3" borderId="3" xfId="0" applyFont="1" applyFill="1" applyBorder="1"/>
    <xf numFmtId="164" fontId="10" fillId="0" borderId="6" xfId="0" applyNumberFormat="1" applyFont="1" applyBorder="1" applyAlignment="1">
      <alignment horizontal="center"/>
    </xf>
    <xf numFmtId="164" fontId="11" fillId="0" borderId="6" xfId="1" quotePrefix="1" applyNumberFormat="1" applyFont="1" applyBorder="1"/>
    <xf numFmtId="0" fontId="11" fillId="3" borderId="6" xfId="0" applyFont="1" applyFill="1" applyBorder="1" applyAlignment="1">
      <alignment horizontal="center"/>
    </xf>
    <xf numFmtId="0" fontId="11" fillId="3" borderId="6" xfId="1" applyNumberFormat="1" applyFont="1" applyFill="1" applyBorder="1" applyAlignment="1">
      <alignment horizontal="center"/>
    </xf>
    <xf numFmtId="166" fontId="11" fillId="3" borderId="6" xfId="1" applyNumberFormat="1" applyFont="1" applyFill="1" applyBorder="1" applyAlignment="1">
      <alignment horizontal="center"/>
    </xf>
    <xf numFmtId="164" fontId="10" fillId="3" borderId="6" xfId="1" applyNumberFormat="1" applyFont="1" applyFill="1" applyBorder="1"/>
    <xf numFmtId="164" fontId="11" fillId="3" borderId="6" xfId="1" applyNumberFormat="1" applyFont="1" applyFill="1" applyBorder="1"/>
    <xf numFmtId="0" fontId="11" fillId="0" borderId="6" xfId="0" quotePrefix="1" applyFont="1" applyFill="1" applyBorder="1"/>
    <xf numFmtId="0" fontId="30" fillId="15" borderId="35" xfId="0" applyFont="1" applyFill="1" applyBorder="1" applyAlignment="1">
      <alignment horizontal="left" vertical="top" wrapText="1" indent="1"/>
    </xf>
    <xf numFmtId="0" fontId="30" fillId="0" borderId="35" xfId="0" quotePrefix="1" applyFont="1" applyBorder="1" applyAlignment="1">
      <alignment horizontal="center" vertical="top"/>
    </xf>
    <xf numFmtId="0" fontId="30" fillId="0" borderId="32" xfId="0" applyFont="1" applyBorder="1" applyAlignment="1">
      <alignment horizontal="left" vertical="top" wrapText="1"/>
    </xf>
    <xf numFmtId="0" fontId="30" fillId="13" borderId="32" xfId="0" applyFont="1" applyFill="1" applyBorder="1" applyAlignment="1">
      <alignment horizontal="left" vertical="top" wrapText="1"/>
    </xf>
    <xf numFmtId="0" fontId="33" fillId="0" borderId="39" xfId="0" applyFont="1" applyBorder="1" applyAlignment="1">
      <alignment horizontal="left" vertical="top" wrapText="1" indent="1"/>
    </xf>
    <xf numFmtId="0" fontId="33" fillId="0" borderId="39" xfId="0" applyFont="1" applyBorder="1" applyAlignment="1">
      <alignment horizontal="center" vertical="top"/>
    </xf>
    <xf numFmtId="165" fontId="33" fillId="0" borderId="39" xfId="2" applyNumberFormat="1" applyFont="1" applyBorder="1" applyAlignment="1">
      <alignment vertical="top"/>
    </xf>
    <xf numFmtId="0" fontId="33" fillId="0" borderId="39" xfId="0" applyFont="1" applyBorder="1" applyAlignment="1">
      <alignment horizontal="left" vertical="top" indent="1"/>
    </xf>
    <xf numFmtId="0" fontId="33" fillId="0" borderId="28" xfId="0" applyFont="1" applyBorder="1" applyAlignment="1">
      <alignment horizontal="center" vertical="top"/>
    </xf>
    <xf numFmtId="0" fontId="30" fillId="0" borderId="29" xfId="0" applyFont="1" applyBorder="1" applyAlignment="1">
      <alignment horizontal="center" vertical="top"/>
    </xf>
    <xf numFmtId="165" fontId="30" fillId="0" borderId="29" xfId="2" applyNumberFormat="1" applyFont="1" applyBorder="1" applyAlignment="1">
      <alignment vertical="top"/>
    </xf>
    <xf numFmtId="0" fontId="33" fillId="0" borderId="30" xfId="0" applyFont="1" applyBorder="1" applyAlignment="1">
      <alignment horizontal="center" vertical="top"/>
    </xf>
    <xf numFmtId="0" fontId="30" fillId="0" borderId="32" xfId="0" quotePrefix="1" applyFont="1" applyFill="1" applyBorder="1" applyAlignment="1">
      <alignment horizontal="center" vertical="top"/>
    </xf>
    <xf numFmtId="0" fontId="30" fillId="14" borderId="29" xfId="0" applyFont="1" applyFill="1" applyBorder="1" applyAlignment="1">
      <alignment horizontal="left" vertical="top" indent="1"/>
    </xf>
    <xf numFmtId="0" fontId="30" fillId="0" borderId="29" xfId="0" applyFont="1" applyBorder="1" applyAlignment="1">
      <alignment horizontal="left" vertical="top" indent="1"/>
    </xf>
    <xf numFmtId="0" fontId="30" fillId="0" borderId="29" xfId="0" applyFont="1" applyBorder="1" applyAlignment="1">
      <alignment horizontal="left" vertical="top" wrapText="1" indent="1"/>
    </xf>
    <xf numFmtId="165" fontId="30" fillId="0" borderId="32" xfId="2" quotePrefix="1" applyNumberFormat="1" applyFont="1" applyBorder="1" applyAlignment="1">
      <alignment horizontal="center" vertical="top"/>
    </xf>
    <xf numFmtId="165" fontId="30" fillId="0" borderId="35" xfId="2" quotePrefix="1" applyNumberFormat="1" applyFont="1" applyBorder="1" applyAlignment="1">
      <alignment horizontal="center" vertical="top"/>
    </xf>
    <xf numFmtId="0" fontId="11" fillId="14" borderId="32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/>
    </xf>
    <xf numFmtId="0" fontId="11" fillId="13" borderId="32" xfId="0" applyFont="1" applyFill="1" applyBorder="1" applyAlignment="1">
      <alignment horizontal="left" vertical="top" wrapText="1"/>
    </xf>
    <xf numFmtId="0" fontId="11" fillId="15" borderId="32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vertical="top"/>
    </xf>
    <xf numFmtId="0" fontId="11" fillId="11" borderId="32" xfId="0" applyFont="1" applyFill="1" applyBorder="1" applyAlignment="1">
      <alignment horizontal="left" vertical="top" wrapText="1"/>
    </xf>
    <xf numFmtId="0" fontId="11" fillId="10" borderId="32" xfId="0" applyFont="1" applyFill="1" applyBorder="1" applyAlignment="1">
      <alignment horizontal="left" vertical="top" wrapText="1"/>
    </xf>
    <xf numFmtId="166" fontId="11" fillId="0" borderId="3" xfId="1" quotePrefix="1" applyNumberFormat="1" applyFont="1" applyBorder="1"/>
    <xf numFmtId="0" fontId="33" fillId="0" borderId="31" xfId="0" applyFont="1" applyFill="1" applyBorder="1" applyAlignment="1">
      <alignment horizontal="center" vertical="top"/>
    </xf>
    <xf numFmtId="0" fontId="33" fillId="0" borderId="33" xfId="0" applyFont="1" applyFill="1" applyBorder="1" applyAlignment="1">
      <alignment horizontal="center" vertical="top"/>
    </xf>
    <xf numFmtId="165" fontId="30" fillId="0" borderId="32" xfId="2" applyNumberFormat="1" applyFont="1" applyFill="1" applyBorder="1" applyAlignment="1">
      <alignment vertical="top"/>
    </xf>
    <xf numFmtId="0" fontId="33" fillId="0" borderId="34" xfId="0" applyFont="1" applyFill="1" applyBorder="1" applyAlignment="1">
      <alignment horizontal="center" vertical="top"/>
    </xf>
    <xf numFmtId="165" fontId="30" fillId="0" borderId="35" xfId="2" applyNumberFormat="1" applyFont="1" applyFill="1" applyBorder="1" applyAlignment="1">
      <alignment vertical="top"/>
    </xf>
    <xf numFmtId="0" fontId="33" fillId="0" borderId="36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left" vertical="top"/>
    </xf>
    <xf numFmtId="0" fontId="30" fillId="0" borderId="32" xfId="0" quotePrefix="1" applyFont="1" applyFill="1" applyBorder="1" applyAlignment="1">
      <alignment horizontal="left" vertical="top"/>
    </xf>
    <xf numFmtId="0" fontId="30" fillId="11" borderId="32" xfId="0" applyFont="1" applyFill="1" applyBorder="1" applyAlignment="1">
      <alignment horizontal="left" vertical="top"/>
    </xf>
    <xf numFmtId="0" fontId="30" fillId="10" borderId="32" xfId="0" applyFont="1" applyFill="1" applyBorder="1" applyAlignment="1">
      <alignment horizontal="left" vertical="top"/>
    </xf>
    <xf numFmtId="0" fontId="30" fillId="0" borderId="32" xfId="0" applyFont="1" applyFill="1" applyBorder="1" applyAlignment="1">
      <alignment horizontal="left" vertical="top" wrapText="1"/>
    </xf>
    <xf numFmtId="0" fontId="30" fillId="3" borderId="32" xfId="0" applyFont="1" applyFill="1" applyBorder="1" applyAlignment="1">
      <alignment horizontal="left" vertical="top"/>
    </xf>
    <xf numFmtId="164" fontId="30" fillId="0" borderId="32" xfId="1" applyNumberFormat="1" applyFont="1" applyFill="1" applyBorder="1" applyAlignment="1">
      <alignment vertical="top"/>
    </xf>
    <xf numFmtId="0" fontId="11" fillId="16" borderId="32" xfId="0" applyFont="1" applyFill="1" applyBorder="1" applyAlignment="1">
      <alignment horizontal="left" vertical="top" wrapText="1"/>
    </xf>
    <xf numFmtId="0" fontId="3" fillId="3" borderId="6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1" xfId="0" applyFont="1" applyFill="1" applyBorder="1"/>
    <xf numFmtId="0" fontId="5" fillId="0" borderId="1" xfId="0" applyFont="1" applyBorder="1" applyAlignment="1"/>
    <xf numFmtId="164" fontId="5" fillId="0" borderId="1" xfId="1" applyNumberFormat="1" applyFont="1" applyBorder="1"/>
    <xf numFmtId="166" fontId="5" fillId="0" borderId="1" xfId="1" applyNumberFormat="1" applyFont="1" applyBorder="1"/>
    <xf numFmtId="0" fontId="5" fillId="3" borderId="1" xfId="0" applyFont="1" applyFill="1" applyBorder="1" applyAlignment="1">
      <alignment horizontal="center"/>
    </xf>
    <xf numFmtId="0" fontId="5" fillId="3" borderId="1" xfId="1" applyNumberFormat="1" applyFont="1" applyFill="1" applyBorder="1" applyAlignment="1">
      <alignment horizontal="center"/>
    </xf>
    <xf numFmtId="0" fontId="5" fillId="3" borderId="1" xfId="1" quotePrefix="1" applyNumberFormat="1" applyFont="1" applyFill="1" applyBorder="1" applyAlignment="1">
      <alignment horizontal="center"/>
    </xf>
    <xf numFmtId="166" fontId="5" fillId="3" borderId="1" xfId="1" applyNumberFormat="1" applyFont="1" applyFill="1" applyBorder="1" applyAlignment="1">
      <alignment horizontal="center"/>
    </xf>
    <xf numFmtId="0" fontId="5" fillId="0" borderId="1" xfId="0" applyFont="1" applyBorder="1"/>
    <xf numFmtId="0" fontId="13" fillId="0" borderId="1" xfId="0" applyFont="1" applyFill="1" applyBorder="1"/>
    <xf numFmtId="166" fontId="13" fillId="0" borderId="1" xfId="1" applyNumberFormat="1" applyFont="1" applyBorder="1"/>
    <xf numFmtId="0" fontId="13" fillId="3" borderId="1" xfId="0" applyFont="1" applyFill="1" applyBorder="1" applyAlignment="1">
      <alignment horizontal="center"/>
    </xf>
    <xf numFmtId="0" fontId="13" fillId="3" borderId="1" xfId="1" applyNumberFormat="1" applyFont="1" applyFill="1" applyBorder="1" applyAlignment="1">
      <alignment horizontal="center"/>
    </xf>
    <xf numFmtId="166" fontId="13" fillId="3" borderId="1" xfId="1" applyNumberFormat="1" applyFont="1" applyFill="1" applyBorder="1" applyAlignment="1">
      <alignment horizontal="center"/>
    </xf>
    <xf numFmtId="0" fontId="5" fillId="0" borderId="1" xfId="0" quotePrefix="1" applyFont="1" applyFill="1" applyBorder="1"/>
    <xf numFmtId="0" fontId="5" fillId="0" borderId="6" xfId="0" applyFont="1" applyFill="1" applyBorder="1"/>
    <xf numFmtId="0" fontId="5" fillId="3" borderId="6" xfId="0" applyFont="1" applyFill="1" applyBorder="1" applyAlignment="1">
      <alignment horizontal="center"/>
    </xf>
    <xf numFmtId="164" fontId="5" fillId="0" borderId="1" xfId="1" quotePrefix="1" applyNumberFormat="1" applyFont="1" applyBorder="1"/>
    <xf numFmtId="166" fontId="5" fillId="0" borderId="1" xfId="1" quotePrefix="1" applyNumberFormat="1" applyFont="1" applyBorder="1"/>
    <xf numFmtId="0" fontId="5" fillId="0" borderId="0" xfId="0" applyFont="1" applyFill="1" applyAlignment="1"/>
    <xf numFmtId="0" fontId="3" fillId="3" borderId="3" xfId="1" applyNumberFormat="1" applyFont="1" applyFill="1" applyBorder="1" applyAlignment="1">
      <alignment horizontal="left"/>
    </xf>
    <xf numFmtId="0" fontId="9" fillId="3" borderId="3" xfId="0" applyFont="1" applyFill="1" applyBorder="1" applyAlignment="1">
      <alignment wrapText="1"/>
    </xf>
    <xf numFmtId="0" fontId="5" fillId="3" borderId="0" xfId="1" applyNumberFormat="1" applyFont="1" applyFill="1" applyAlignment="1">
      <alignment horizontal="center"/>
    </xf>
    <xf numFmtId="166" fontId="5" fillId="3" borderId="0" xfId="1" applyNumberFormat="1" applyFont="1" applyFill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5" fillId="3" borderId="0" xfId="0" applyFont="1" applyFill="1" applyAlignment="1"/>
    <xf numFmtId="0" fontId="25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0" xfId="5" applyFont="1" applyAlignment="1">
      <alignment horizontal="center"/>
    </xf>
    <xf numFmtId="9" fontId="0" fillId="0" borderId="1" xfId="5" applyFont="1" applyBorder="1" applyAlignment="1">
      <alignment horizontal="center"/>
    </xf>
    <xf numFmtId="9" fontId="25" fillId="0" borderId="0" xfId="5" applyFont="1" applyAlignment="1">
      <alignment horizontal="center"/>
    </xf>
    <xf numFmtId="0" fontId="0" fillId="8" borderId="0" xfId="0" applyFill="1"/>
    <xf numFmtId="0" fontId="0" fillId="17" borderId="0" xfId="0" applyFill="1"/>
    <xf numFmtId="0" fontId="0" fillId="8" borderId="1" xfId="0" applyFill="1" applyBorder="1"/>
    <xf numFmtId="0" fontId="0" fillId="17" borderId="1" xfId="0" applyFill="1" applyBorder="1"/>
    <xf numFmtId="9" fontId="0" fillId="0" borderId="40" xfId="5" applyFont="1" applyBorder="1" applyAlignment="1">
      <alignment horizontal="center"/>
    </xf>
    <xf numFmtId="0" fontId="25" fillId="0" borderId="1" xfId="0" applyFont="1" applyBorder="1"/>
    <xf numFmtId="0" fontId="2" fillId="0" borderId="1" xfId="3" applyBorder="1"/>
    <xf numFmtId="0" fontId="41" fillId="0" borderId="1" xfId="0" applyFont="1" applyBorder="1"/>
    <xf numFmtId="0" fontId="4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3" fillId="19" borderId="3" xfId="1" applyNumberFormat="1" applyFont="1" applyFill="1" applyBorder="1" applyAlignment="1">
      <alignment horizontal="left"/>
    </xf>
    <xf numFmtId="0" fontId="9" fillId="19" borderId="3" xfId="0" applyFont="1" applyFill="1" applyBorder="1" applyAlignment="1">
      <alignment horizontal="left"/>
    </xf>
    <xf numFmtId="0" fontId="9" fillId="19" borderId="3" xfId="0" applyFont="1" applyFill="1" applyBorder="1" applyAlignment="1"/>
    <xf numFmtId="0" fontId="5" fillId="20" borderId="0" xfId="0" applyFont="1" applyFill="1" applyAlignment="1"/>
    <xf numFmtId="0" fontId="9" fillId="20" borderId="0" xfId="0" applyFont="1" applyFill="1" applyAlignment="1"/>
    <xf numFmtId="0" fontId="9" fillId="20" borderId="3" xfId="0" applyFont="1" applyFill="1" applyBorder="1" applyAlignment="1">
      <alignment horizontal="left" wrapText="1"/>
    </xf>
    <xf numFmtId="0" fontId="9" fillId="21" borderId="0" xfId="0" applyFont="1" applyFill="1" applyAlignment="1"/>
    <xf numFmtId="0" fontId="5" fillId="21" borderId="0" xfId="0" applyFont="1" applyFill="1" applyAlignment="1"/>
    <xf numFmtId="0" fontId="9" fillId="21" borderId="3" xfId="0" applyFont="1" applyFill="1" applyBorder="1" applyAlignment="1">
      <alignment horizontal="left" wrapText="1"/>
    </xf>
    <xf numFmtId="0" fontId="9" fillId="3" borderId="0" xfId="0" applyFont="1" applyFill="1" applyAlignment="1"/>
    <xf numFmtId="0" fontId="9" fillId="0" borderId="0" xfId="0" applyFont="1" applyAlignment="1"/>
    <xf numFmtId="0" fontId="5" fillId="22" borderId="1" xfId="0" applyFont="1" applyFill="1" applyBorder="1"/>
    <xf numFmtId="0" fontId="5" fillId="23" borderId="1" xfId="0" applyFont="1" applyFill="1" applyBorder="1"/>
    <xf numFmtId="0" fontId="5" fillId="24" borderId="1" xfId="0" applyFont="1" applyFill="1" applyBorder="1"/>
    <xf numFmtId="0" fontId="5" fillId="25" borderId="1" xfId="0" applyFont="1" applyFill="1" applyBorder="1"/>
    <xf numFmtId="0" fontId="5" fillId="17" borderId="1" xfId="0" applyFont="1" applyFill="1" applyBorder="1"/>
    <xf numFmtId="164" fontId="5" fillId="3" borderId="0" xfId="1" applyNumberFormat="1" applyFont="1" applyFill="1" applyAlignment="1"/>
    <xf numFmtId="164" fontId="9" fillId="3" borderId="1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wrapText="1"/>
    </xf>
    <xf numFmtId="164" fontId="3" fillId="19" borderId="3" xfId="1" applyNumberFormat="1" applyFont="1" applyFill="1" applyBorder="1" applyAlignment="1">
      <alignment horizontal="left" wrapText="1"/>
    </xf>
    <xf numFmtId="0" fontId="5" fillId="0" borderId="1" xfId="0" quotePrefix="1" applyFont="1" applyFill="1" applyBorder="1" applyAlignment="1">
      <alignment horizontal="left"/>
    </xf>
    <xf numFmtId="0" fontId="9" fillId="21" borderId="41" xfId="0" applyFont="1" applyFill="1" applyBorder="1" applyAlignment="1">
      <alignment horizontal="left" wrapText="1"/>
    </xf>
    <xf numFmtId="0" fontId="9" fillId="3" borderId="41" xfId="0" applyFont="1" applyFill="1" applyBorder="1" applyAlignment="1"/>
    <xf numFmtId="0" fontId="9" fillId="3" borderId="41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3" fontId="5" fillId="18" borderId="6" xfId="1" applyFont="1" applyFill="1" applyBorder="1" applyAlignment="1"/>
    <xf numFmtId="43" fontId="5" fillId="0" borderId="6" xfId="1" applyFont="1" applyBorder="1" applyAlignment="1"/>
    <xf numFmtId="43" fontId="5" fillId="18" borderId="1" xfId="1" applyFont="1" applyFill="1" applyBorder="1" applyAlignment="1"/>
    <xf numFmtId="43" fontId="5" fillId="0" borderId="1" xfId="1" applyFont="1" applyBorder="1" applyAlignment="1"/>
    <xf numFmtId="43" fontId="5" fillId="0" borderId="1" xfId="1" applyFont="1" applyFill="1" applyBorder="1" applyAlignment="1"/>
    <xf numFmtId="164" fontId="5" fillId="18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18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1" xfId="1" applyNumberFormat="1" applyFont="1" applyFill="1" applyBorder="1" applyAlignment="1"/>
    <xf numFmtId="164" fontId="5" fillId="0" borderId="6" xfId="1" applyNumberFormat="1" applyFont="1" applyFill="1" applyBorder="1" applyAlignment="1"/>
    <xf numFmtId="43" fontId="5" fillId="20" borderId="0" xfId="1" applyFont="1" applyFill="1" applyAlignment="1"/>
    <xf numFmtId="43" fontId="9" fillId="20" borderId="3" xfId="1" applyFont="1" applyFill="1" applyBorder="1" applyAlignment="1">
      <alignment horizontal="left" wrapText="1"/>
    </xf>
    <xf numFmtId="43" fontId="5" fillId="0" borderId="0" xfId="1" applyFont="1" applyAlignment="1"/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9" fillId="3" borderId="0" xfId="1" applyNumberFormat="1" applyFont="1" applyFill="1" applyAlignment="1"/>
    <xf numFmtId="164" fontId="9" fillId="3" borderId="41" xfId="1" applyNumberFormat="1" applyFont="1" applyFill="1" applyBorder="1" applyAlignment="1"/>
    <xf numFmtId="164" fontId="9" fillId="0" borderId="6" xfId="1" applyNumberFormat="1" applyFont="1" applyFill="1" applyBorder="1"/>
    <xf numFmtId="164" fontId="9" fillId="0" borderId="1" xfId="1" applyNumberFormat="1" applyFont="1" applyFill="1" applyBorder="1"/>
    <xf numFmtId="164" fontId="9" fillId="0" borderId="0" xfId="1" applyNumberFormat="1" applyFont="1" applyAlignment="1"/>
    <xf numFmtId="0" fontId="9" fillId="0" borderId="1" xfId="0" quotePrefix="1" applyFont="1" applyFill="1" applyBorder="1"/>
    <xf numFmtId="164" fontId="5" fillId="0" borderId="1" xfId="1" applyNumberFormat="1" applyFont="1" applyFill="1" applyBorder="1"/>
    <xf numFmtId="166" fontId="5" fillId="0" borderId="1" xfId="1" applyNumberFormat="1" applyFont="1" applyFill="1" applyBorder="1"/>
    <xf numFmtId="0" fontId="10" fillId="0" borderId="3" xfId="0" applyFont="1" applyBorder="1" applyAlignment="1">
      <alignment horizontal="center" vertical="top" wrapText="1"/>
    </xf>
    <xf numFmtId="43" fontId="9" fillId="20" borderId="0" xfId="1" applyFont="1" applyFill="1" applyAlignment="1"/>
    <xf numFmtId="43" fontId="5" fillId="0" borderId="6" xfId="1" applyFont="1" applyFill="1" applyBorder="1" applyAlignment="1"/>
    <xf numFmtId="0" fontId="11" fillId="0" borderId="10" xfId="0" applyFont="1" applyFill="1" applyBorder="1" applyAlignment="1">
      <alignment vertical="center" wrapText="1"/>
    </xf>
    <xf numFmtId="0" fontId="11" fillId="0" borderId="10" xfId="0" quotePrefix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11" fillId="0" borderId="2" xfId="0" applyFont="1" applyFill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2" fontId="11" fillId="3" borderId="10" xfId="0" applyNumberFormat="1" applyFont="1" applyFill="1" applyBorder="1" applyAlignment="1">
      <alignment horizontal="left" vertical="center" shrinkToFit="1"/>
    </xf>
    <xf numFmtId="2" fontId="11" fillId="3" borderId="2" xfId="0" applyNumberFormat="1" applyFont="1" applyFill="1" applyBorder="1" applyAlignment="1">
      <alignment horizontal="left" vertical="center" shrinkToFit="1"/>
    </xf>
    <xf numFmtId="2" fontId="11" fillId="3" borderId="1" xfId="0" applyNumberFormat="1" applyFont="1" applyFill="1" applyBorder="1" applyAlignment="1">
      <alignment horizontal="left" vertical="center" shrinkToFit="1"/>
    </xf>
    <xf numFmtId="2" fontId="11" fillId="3" borderId="3" xfId="0" applyNumberFormat="1" applyFont="1" applyFill="1" applyBorder="1" applyAlignment="1">
      <alignment horizontal="left" vertical="center" shrinkToFit="1"/>
    </xf>
    <xf numFmtId="0" fontId="11" fillId="3" borderId="0" xfId="0" applyFont="1" applyFill="1" applyAlignment="1">
      <alignment horizontal="left"/>
    </xf>
    <xf numFmtId="0" fontId="12" fillId="0" borderId="1" xfId="0" applyFont="1" applyBorder="1" applyAlignment="1">
      <alignment vertical="center" wrapText="1"/>
    </xf>
    <xf numFmtId="169" fontId="11" fillId="0" borderId="1" xfId="0" applyNumberFormat="1" applyFont="1" applyBorder="1" applyAlignment="1">
      <alignment vertical="center" shrinkToFit="1"/>
    </xf>
    <xf numFmtId="169" fontId="11" fillId="0" borderId="3" xfId="0" applyNumberFormat="1" applyFont="1" applyBorder="1" applyAlignment="1">
      <alignment vertical="center" shrinkToFit="1"/>
    </xf>
    <xf numFmtId="1" fontId="12" fillId="0" borderId="1" xfId="0" applyNumberFormat="1" applyFont="1" applyBorder="1" applyAlignment="1">
      <alignment vertical="center" shrinkToFit="1"/>
    </xf>
    <xf numFmtId="1" fontId="12" fillId="0" borderId="3" xfId="0" applyNumberFormat="1" applyFont="1" applyBorder="1" applyAlignment="1">
      <alignment vertical="center" shrinkToFit="1"/>
    </xf>
    <xf numFmtId="0" fontId="10" fillId="6" borderId="15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top" wrapText="1"/>
    </xf>
    <xf numFmtId="165" fontId="10" fillId="6" borderId="15" xfId="2" applyNumberFormat="1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vertical="top" wrapText="1"/>
    </xf>
    <xf numFmtId="0" fontId="11" fillId="0" borderId="42" xfId="0" applyFont="1" applyBorder="1" applyAlignment="1">
      <alignment vertical="center"/>
    </xf>
    <xf numFmtId="0" fontId="11" fillId="0" borderId="43" xfId="0" applyFont="1" applyFill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165" fontId="10" fillId="0" borderId="43" xfId="2" applyNumberFormat="1" applyFont="1" applyBorder="1" applyAlignment="1">
      <alignment vertical="center" shrinkToFit="1"/>
    </xf>
    <xf numFmtId="2" fontId="11" fillId="0" borderId="43" xfId="0" applyNumberFormat="1" applyFont="1" applyBorder="1" applyAlignment="1">
      <alignment vertical="center" shrinkToFit="1"/>
    </xf>
    <xf numFmtId="2" fontId="11" fillId="3" borderId="43" xfId="0" applyNumberFormat="1" applyFont="1" applyFill="1" applyBorder="1" applyAlignment="1">
      <alignment vertical="center" shrinkToFit="1"/>
    </xf>
    <xf numFmtId="2" fontId="11" fillId="3" borderId="43" xfId="0" applyNumberFormat="1" applyFont="1" applyFill="1" applyBorder="1" applyAlignment="1">
      <alignment horizontal="left" vertical="center" shrinkToFit="1"/>
    </xf>
    <xf numFmtId="0" fontId="11" fillId="0" borderId="44" xfId="0" applyFont="1" applyFill="1" applyBorder="1" applyAlignment="1">
      <alignment vertical="center" wrapText="1"/>
    </xf>
    <xf numFmtId="0" fontId="11" fillId="0" borderId="45" xfId="0" applyFont="1" applyBorder="1" applyAlignment="1">
      <alignment vertical="center"/>
    </xf>
    <xf numFmtId="0" fontId="11" fillId="0" borderId="46" xfId="0" applyFont="1" applyFill="1" applyBorder="1" applyAlignment="1">
      <alignment vertical="center" wrapText="1"/>
    </xf>
    <xf numFmtId="0" fontId="11" fillId="0" borderId="47" xfId="0" applyFont="1" applyBorder="1" applyAlignment="1">
      <alignment vertical="center"/>
    </xf>
    <xf numFmtId="0" fontId="11" fillId="0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165" fontId="10" fillId="0" borderId="11" xfId="2" applyNumberFormat="1" applyFont="1" applyBorder="1" applyAlignment="1">
      <alignment vertical="center" shrinkToFit="1"/>
    </xf>
    <xf numFmtId="1" fontId="11" fillId="0" borderId="11" xfId="0" applyNumberFormat="1" applyFont="1" applyBorder="1" applyAlignment="1">
      <alignment vertical="center" shrinkToFit="1"/>
    </xf>
    <xf numFmtId="2" fontId="11" fillId="3" borderId="11" xfId="0" applyNumberFormat="1" applyFont="1" applyFill="1" applyBorder="1" applyAlignment="1">
      <alignment horizontal="left" vertical="center" shrinkToFit="1"/>
    </xf>
    <xf numFmtId="0" fontId="11" fillId="0" borderId="48" xfId="0" applyFont="1" applyFill="1" applyBorder="1" applyAlignment="1">
      <alignment vertical="center" wrapText="1"/>
    </xf>
    <xf numFmtId="1" fontId="12" fillId="0" borderId="2" xfId="0" applyNumberFormat="1" applyFont="1" applyBorder="1" applyAlignment="1">
      <alignment vertical="center" shrinkToFit="1"/>
    </xf>
    <xf numFmtId="0" fontId="11" fillId="0" borderId="25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1" fontId="11" fillId="20" borderId="10" xfId="0" applyNumberFormat="1" applyFont="1" applyFill="1" applyBorder="1" applyAlignment="1">
      <alignment vertical="center" shrinkToFit="1"/>
    </xf>
    <xf numFmtId="9" fontId="38" fillId="20" borderId="10" xfId="5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vertical="center" wrapText="1"/>
    </xf>
    <xf numFmtId="0" fontId="11" fillId="0" borderId="1" xfId="0" quotePrefix="1" applyFont="1" applyFill="1" applyBorder="1" applyAlignment="1">
      <alignment vertical="center" wrapText="1"/>
    </xf>
    <xf numFmtId="165" fontId="10" fillId="20" borderId="1" xfId="2" applyNumberFormat="1" applyFont="1" applyFill="1" applyBorder="1" applyAlignment="1">
      <alignment vertical="center" shrinkToFit="1"/>
    </xf>
    <xf numFmtId="0" fontId="11" fillId="3" borderId="8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165" fontId="10" fillId="3" borderId="1" xfId="2" applyNumberFormat="1" applyFont="1" applyFill="1" applyBorder="1" applyAlignment="1">
      <alignment vertical="center" shrinkToFit="1"/>
    </xf>
    <xf numFmtId="169" fontId="11" fillId="3" borderId="1" xfId="0" applyNumberFormat="1" applyFont="1" applyFill="1" applyBorder="1" applyAlignment="1">
      <alignment vertical="center" shrinkToFit="1"/>
    </xf>
    <xf numFmtId="0" fontId="11" fillId="3" borderId="26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2" applyNumberFormat="1" applyFont="1" applyBorder="1" applyAlignment="1">
      <alignment vertical="center"/>
    </xf>
    <xf numFmtId="0" fontId="0" fillId="20" borderId="1" xfId="0" applyFill="1" applyBorder="1" applyAlignment="1">
      <alignment vertical="center"/>
    </xf>
    <xf numFmtId="0" fontId="0" fillId="2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20" borderId="1" xfId="2" applyNumberFormat="1" applyFont="1" applyFill="1" applyBorder="1" applyAlignment="1">
      <alignment vertical="center"/>
    </xf>
    <xf numFmtId="9" fontId="0" fillId="20" borderId="1" xfId="5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165" fontId="10" fillId="0" borderId="3" xfId="2" applyNumberFormat="1" applyFont="1" applyBorder="1" applyAlignment="1">
      <alignment horizontal="center" vertical="top" wrapText="1"/>
    </xf>
    <xf numFmtId="165" fontId="10" fillId="0" borderId="1" xfId="2" quotePrefix="1" applyNumberFormat="1" applyFont="1" applyBorder="1"/>
    <xf numFmtId="165" fontId="10" fillId="0" borderId="3" xfId="2" quotePrefix="1" applyNumberFormat="1" applyFont="1" applyBorder="1"/>
    <xf numFmtId="165" fontId="0" fillId="0" borderId="1" xfId="0" applyNumberFormat="1" applyBorder="1" applyAlignment="1">
      <alignment vertical="center"/>
    </xf>
    <xf numFmtId="0" fontId="11" fillId="3" borderId="7" xfId="0" applyFont="1" applyFill="1" applyBorder="1" applyAlignment="1">
      <alignment horizontal="center"/>
    </xf>
    <xf numFmtId="0" fontId="11" fillId="3" borderId="25" xfId="0" applyFont="1" applyFill="1" applyBorder="1"/>
    <xf numFmtId="0" fontId="11" fillId="3" borderId="8" xfId="0" applyFont="1" applyFill="1" applyBorder="1" applyAlignment="1">
      <alignment horizontal="center"/>
    </xf>
    <xf numFmtId="0" fontId="11" fillId="3" borderId="26" xfId="0" applyFont="1" applyFill="1" applyBorder="1"/>
    <xf numFmtId="0" fontId="11" fillId="3" borderId="9" xfId="0" applyFont="1" applyFill="1" applyBorder="1" applyAlignment="1">
      <alignment horizontal="center"/>
    </xf>
    <xf numFmtId="0" fontId="11" fillId="3" borderId="27" xfId="0" applyFont="1" applyFill="1" applyBorder="1"/>
    <xf numFmtId="0" fontId="11" fillId="3" borderId="49" xfId="0" applyFont="1" applyFill="1" applyBorder="1" applyAlignment="1">
      <alignment horizontal="center"/>
    </xf>
    <xf numFmtId="0" fontId="11" fillId="0" borderId="19" xfId="0" applyFont="1" applyBorder="1"/>
    <xf numFmtId="0" fontId="11" fillId="0" borderId="19" xfId="0" applyFont="1" applyFill="1" applyBorder="1"/>
    <xf numFmtId="165" fontId="11" fillId="0" borderId="19" xfId="2" applyNumberFormat="1" applyFont="1" applyBorder="1"/>
    <xf numFmtId="166" fontId="11" fillId="0" borderId="19" xfId="1" applyNumberFormat="1" applyFont="1" applyBorder="1"/>
    <xf numFmtId="0" fontId="11" fillId="3" borderId="19" xfId="0" applyFont="1" applyFill="1" applyBorder="1"/>
    <xf numFmtId="0" fontId="10" fillId="3" borderId="19" xfId="0" applyFont="1" applyFill="1" applyBorder="1"/>
    <xf numFmtId="0" fontId="11" fillId="3" borderId="50" xfId="0" applyFont="1" applyFill="1" applyBorder="1"/>
    <xf numFmtId="0" fontId="10" fillId="0" borderId="3" xfId="0" quotePrefix="1" applyFont="1" applyFill="1" applyBorder="1"/>
    <xf numFmtId="0" fontId="2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26" borderId="0" xfId="0" applyFont="1" applyFill="1" applyAlignment="1">
      <alignment horizontal="center"/>
    </xf>
    <xf numFmtId="165" fontId="0" fillId="20" borderId="1" xfId="0" applyNumberFormat="1" applyFill="1" applyBorder="1" applyAlignment="1">
      <alignment vertical="center"/>
    </xf>
    <xf numFmtId="165" fontId="11" fillId="0" borderId="0" xfId="2" applyNumberFormat="1" applyFont="1" applyAlignment="1">
      <alignment vertical="center"/>
    </xf>
    <xf numFmtId="0" fontId="10" fillId="0" borderId="51" xfId="0" applyFont="1" applyFill="1" applyBorder="1" applyAlignment="1">
      <alignment vertical="center"/>
    </xf>
    <xf numFmtId="165" fontId="11" fillId="0" borderId="52" xfId="2" applyNumberFormat="1" applyFont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165" fontId="11" fillId="0" borderId="26" xfId="2" applyNumberFormat="1" applyFont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165" fontId="11" fillId="0" borderId="27" xfId="2" applyNumberFormat="1" applyFont="1" applyBorder="1" applyAlignment="1">
      <alignment vertical="center"/>
    </xf>
    <xf numFmtId="0" fontId="11" fillId="0" borderId="0" xfId="0" applyFont="1" applyFill="1" applyAlignment="1">
      <alignment vertical="center"/>
    </xf>
    <xf numFmtId="165" fontId="11" fillId="0" borderId="1" xfId="2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165" fontId="11" fillId="0" borderId="6" xfId="2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165" fontId="11" fillId="0" borderId="2" xfId="2" applyNumberFormat="1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165" fontId="11" fillId="0" borderId="3" xfId="2" applyNumberFormat="1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0" fillId="27" borderId="0" xfId="0" applyFont="1" applyFill="1" applyAlignment="1">
      <alignment vertical="center"/>
    </xf>
    <xf numFmtId="165" fontId="10" fillId="27" borderId="0" xfId="2" applyNumberFormat="1" applyFont="1" applyFill="1" applyAlignment="1">
      <alignment vertical="center"/>
    </xf>
    <xf numFmtId="0" fontId="10" fillId="27" borderId="0" xfId="0" applyFont="1" applyFill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20" borderId="9" xfId="0" applyFill="1" applyBorder="1" applyAlignment="1">
      <alignment horizontal="right" vertical="center"/>
    </xf>
    <xf numFmtId="165" fontId="11" fillId="20" borderId="3" xfId="2" applyNumberFormat="1" applyFont="1" applyFill="1" applyBorder="1" applyAlignment="1">
      <alignment vertical="center"/>
    </xf>
    <xf numFmtId="165" fontId="11" fillId="20" borderId="27" xfId="2" applyNumberFormat="1" applyFont="1" applyFill="1" applyBorder="1" applyAlignment="1">
      <alignment vertical="center"/>
    </xf>
    <xf numFmtId="0" fontId="0" fillId="22" borderId="7" xfId="0" applyFill="1" applyBorder="1" applyAlignment="1">
      <alignment horizontal="right" vertical="center"/>
    </xf>
    <xf numFmtId="165" fontId="11" fillId="22" borderId="2" xfId="2" applyNumberFormat="1" applyFont="1" applyFill="1" applyBorder="1" applyAlignment="1">
      <alignment vertical="center"/>
    </xf>
    <xf numFmtId="165" fontId="11" fillId="22" borderId="25" xfId="2" applyNumberFormat="1" applyFont="1" applyFill="1" applyBorder="1" applyAlignment="1">
      <alignment vertical="center"/>
    </xf>
    <xf numFmtId="0" fontId="25" fillId="0" borderId="0" xfId="0" applyFont="1" applyAlignment="1">
      <alignment horizontal="center" wrapText="1"/>
    </xf>
    <xf numFmtId="0" fontId="0" fillId="0" borderId="53" xfId="0" applyFill="1" applyBorder="1" applyAlignment="1">
      <alignment horizontal="right" vertical="center"/>
    </xf>
    <xf numFmtId="165" fontId="11" fillId="0" borderId="53" xfId="2" applyNumberFormat="1" applyFont="1" applyFill="1" applyBorder="1" applyAlignment="1">
      <alignment horizontal="center" vertical="center"/>
    </xf>
    <xf numFmtId="0" fontId="25" fillId="17" borderId="8" xfId="0" applyFont="1" applyFill="1" applyBorder="1" applyAlignment="1">
      <alignment horizontal="right" vertical="center" wrapText="1"/>
    </xf>
    <xf numFmtId="165" fontId="10" fillId="17" borderId="1" xfId="2" applyNumberFormat="1" applyFont="1" applyFill="1" applyBorder="1" applyAlignment="1">
      <alignment vertical="center"/>
    </xf>
    <xf numFmtId="165" fontId="10" fillId="17" borderId="26" xfId="2" applyNumberFormat="1" applyFont="1" applyFill="1" applyBorder="1" applyAlignment="1">
      <alignment vertical="center"/>
    </xf>
    <xf numFmtId="164" fontId="10" fillId="0" borderId="4" xfId="0" applyNumberFormat="1" applyFont="1" applyBorder="1" applyAlignment="1">
      <alignment horizontal="center"/>
    </xf>
    <xf numFmtId="0" fontId="11" fillId="0" borderId="4" xfId="0" applyFont="1" applyBorder="1"/>
    <xf numFmtId="0" fontId="11" fillId="0" borderId="4" xfId="0" applyFont="1" applyFill="1" applyBorder="1"/>
    <xf numFmtId="164" fontId="11" fillId="0" borderId="4" xfId="1" applyNumberFormat="1" applyFont="1" applyBorder="1"/>
    <xf numFmtId="166" fontId="11" fillId="0" borderId="4" xfId="1" applyNumberFormat="1" applyFont="1" applyBorder="1"/>
    <xf numFmtId="0" fontId="10" fillId="0" borderId="4" xfId="1" applyNumberFormat="1" applyFont="1" applyBorder="1" applyAlignment="1">
      <alignment horizontal="center"/>
    </xf>
    <xf numFmtId="165" fontId="10" fillId="0" borderId="4" xfId="2" applyNumberFormat="1" applyFont="1" applyBorder="1"/>
    <xf numFmtId="0" fontId="11" fillId="3" borderId="4" xfId="0" applyFont="1" applyFill="1" applyBorder="1"/>
    <xf numFmtId="0" fontId="10" fillId="3" borderId="4" xfId="0" applyFont="1" applyFill="1" applyBorder="1"/>
    <xf numFmtId="0" fontId="11" fillId="3" borderId="4" xfId="0" applyFont="1" applyFill="1" applyBorder="1" applyAlignment="1">
      <alignment horizontal="center"/>
    </xf>
    <xf numFmtId="0" fontId="11" fillId="3" borderId="4" xfId="1" applyNumberFormat="1" applyFont="1" applyFill="1" applyBorder="1" applyAlignment="1">
      <alignment horizontal="center"/>
    </xf>
    <xf numFmtId="166" fontId="11" fillId="3" borderId="4" xfId="1" applyNumberFormat="1" applyFont="1" applyFill="1" applyBorder="1" applyAlignment="1">
      <alignment horizontal="center"/>
    </xf>
    <xf numFmtId="164" fontId="10" fillId="3" borderId="4" xfId="1" applyNumberFormat="1" applyFont="1" applyFill="1" applyBorder="1"/>
    <xf numFmtId="164" fontId="11" fillId="3" borderId="4" xfId="1" applyNumberFormat="1" applyFont="1" applyFill="1" applyBorder="1"/>
    <xf numFmtId="0" fontId="11" fillId="0" borderId="6" xfId="0" quotePrefix="1" applyFont="1" applyBorder="1"/>
    <xf numFmtId="164" fontId="11" fillId="0" borderId="6" xfId="1" applyNumberFormat="1" applyFont="1" applyBorder="1"/>
    <xf numFmtId="0" fontId="10" fillId="0" borderId="6" xfId="1" applyNumberFormat="1" applyFont="1" applyBorder="1" applyAlignment="1">
      <alignment horizontal="center"/>
    </xf>
    <xf numFmtId="0" fontId="11" fillId="3" borderId="6" xfId="1" quotePrefix="1" applyNumberFormat="1" applyFont="1" applyFill="1" applyBorder="1" applyAlignment="1">
      <alignment horizontal="center"/>
    </xf>
    <xf numFmtId="0" fontId="22" fillId="0" borderId="6" xfId="0" applyFont="1" applyFill="1" applyBorder="1"/>
    <xf numFmtId="164" fontId="10" fillId="0" borderId="54" xfId="0" applyNumberFormat="1" applyFont="1" applyBorder="1" applyAlignment="1">
      <alignment horizontal="center"/>
    </xf>
    <xf numFmtId="164" fontId="10" fillId="0" borderId="55" xfId="0" applyNumberFormat="1" applyFont="1" applyBorder="1" applyAlignment="1">
      <alignment horizontal="center"/>
    </xf>
    <xf numFmtId="0" fontId="11" fillId="0" borderId="55" xfId="0" applyFont="1" applyBorder="1"/>
    <xf numFmtId="0" fontId="11" fillId="0" borderId="55" xfId="0" quotePrefix="1" applyFont="1" applyBorder="1"/>
    <xf numFmtId="0" fontId="11" fillId="0" borderId="55" xfId="0" applyFont="1" applyFill="1" applyBorder="1"/>
    <xf numFmtId="164" fontId="11" fillId="0" borderId="55" xfId="1" applyNumberFormat="1" applyFont="1" applyBorder="1"/>
    <xf numFmtId="166" fontId="11" fillId="0" borderId="55" xfId="1" applyNumberFormat="1" applyFont="1" applyBorder="1"/>
    <xf numFmtId="0" fontId="10" fillId="0" borderId="55" xfId="1" applyNumberFormat="1" applyFont="1" applyBorder="1" applyAlignment="1">
      <alignment horizontal="center"/>
    </xf>
    <xf numFmtId="165" fontId="10" fillId="0" borderId="55" xfId="2" applyNumberFormat="1" applyFont="1" applyBorder="1"/>
    <xf numFmtId="0" fontId="11" fillId="3" borderId="55" xfId="0" applyFont="1" applyFill="1" applyBorder="1"/>
    <xf numFmtId="0" fontId="10" fillId="3" borderId="55" xfId="0" applyFont="1" applyFill="1" applyBorder="1"/>
    <xf numFmtId="0" fontId="11" fillId="3" borderId="55" xfId="0" applyFont="1" applyFill="1" applyBorder="1" applyAlignment="1">
      <alignment horizontal="center"/>
    </xf>
    <xf numFmtId="0" fontId="11" fillId="3" borderId="55" xfId="1" applyNumberFormat="1" applyFont="1" applyFill="1" applyBorder="1" applyAlignment="1">
      <alignment horizontal="center"/>
    </xf>
    <xf numFmtId="166" fontId="11" fillId="3" borderId="55" xfId="1" applyNumberFormat="1" applyFont="1" applyFill="1" applyBorder="1" applyAlignment="1">
      <alignment horizontal="center"/>
    </xf>
    <xf numFmtId="164" fontId="10" fillId="3" borderId="55" xfId="1" applyNumberFormat="1" applyFont="1" applyFill="1" applyBorder="1"/>
    <xf numFmtId="164" fontId="11" fillId="3" borderId="55" xfId="1" applyNumberFormat="1" applyFont="1" applyFill="1" applyBorder="1"/>
    <xf numFmtId="0" fontId="11" fillId="0" borderId="56" xfId="0" applyFont="1" applyBorder="1"/>
    <xf numFmtId="164" fontId="10" fillId="0" borderId="57" xfId="0" applyNumberFormat="1" applyFont="1" applyBorder="1" applyAlignment="1">
      <alignment horizontal="center"/>
    </xf>
    <xf numFmtId="0" fontId="11" fillId="0" borderId="58" xfId="0" applyFont="1" applyBorder="1"/>
    <xf numFmtId="164" fontId="10" fillId="0" borderId="59" xfId="0" applyNumberFormat="1" applyFont="1" applyBorder="1" applyAlignment="1">
      <alignment horizontal="center"/>
    </xf>
    <xf numFmtId="164" fontId="10" fillId="0" borderId="60" xfId="0" applyNumberFormat="1" applyFont="1" applyBorder="1" applyAlignment="1">
      <alignment horizontal="center"/>
    </xf>
    <xf numFmtId="0" fontId="11" fillId="0" borderId="60" xfId="0" applyFont="1" applyFill="1" applyBorder="1"/>
    <xf numFmtId="0" fontId="11" fillId="0" borderId="60" xfId="0" quotePrefix="1" applyFont="1" applyFill="1" applyBorder="1"/>
    <xf numFmtId="164" fontId="11" fillId="0" borderId="60" xfId="1" applyNumberFormat="1" applyFont="1" applyBorder="1"/>
    <xf numFmtId="166" fontId="11" fillId="0" borderId="60" xfId="1" applyNumberFormat="1" applyFont="1" applyBorder="1"/>
    <xf numFmtId="0" fontId="10" fillId="0" borderId="60" xfId="1" quotePrefix="1" applyNumberFormat="1" applyFont="1" applyBorder="1" applyAlignment="1">
      <alignment horizontal="center"/>
    </xf>
    <xf numFmtId="165" fontId="10" fillId="0" borderId="60" xfId="2" applyNumberFormat="1" applyFont="1" applyBorder="1"/>
    <xf numFmtId="0" fontId="11" fillId="3" borderId="60" xfId="0" applyFont="1" applyFill="1" applyBorder="1"/>
    <xf numFmtId="0" fontId="10" fillId="3" borderId="60" xfId="0" applyFont="1" applyFill="1" applyBorder="1"/>
    <xf numFmtId="0" fontId="11" fillId="3" borderId="60" xfId="0" applyFont="1" applyFill="1" applyBorder="1" applyAlignment="1">
      <alignment horizontal="center"/>
    </xf>
    <xf numFmtId="0" fontId="11" fillId="3" borderId="60" xfId="1" applyNumberFormat="1" applyFont="1" applyFill="1" applyBorder="1" applyAlignment="1">
      <alignment horizontal="center"/>
    </xf>
    <xf numFmtId="166" fontId="11" fillId="3" borderId="60" xfId="1" applyNumberFormat="1" applyFont="1" applyFill="1" applyBorder="1" applyAlignment="1">
      <alignment horizontal="center"/>
    </xf>
    <xf numFmtId="164" fontId="10" fillId="3" borderId="60" xfId="1" applyNumberFormat="1" applyFont="1" applyFill="1" applyBorder="1"/>
    <xf numFmtId="164" fontId="11" fillId="3" borderId="60" xfId="1" applyNumberFormat="1" applyFont="1" applyFill="1" applyBorder="1"/>
    <xf numFmtId="0" fontId="11" fillId="0" borderId="61" xfId="0" applyFont="1" applyBorder="1"/>
    <xf numFmtId="164" fontId="1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38" fillId="0" borderId="1" xfId="1" applyNumberFormat="1" applyFont="1" applyFill="1" applyBorder="1" applyAlignment="1">
      <alignment horizontal="center"/>
    </xf>
    <xf numFmtId="165" fontId="12" fillId="0" borderId="1" xfId="2" applyNumberFormat="1" applyFont="1" applyFill="1" applyBorder="1"/>
    <xf numFmtId="0" fontId="10" fillId="0" borderId="1" xfId="0" applyFont="1" applyFill="1" applyBorder="1"/>
    <xf numFmtId="0" fontId="11" fillId="0" borderId="1" xfId="1" applyNumberFormat="1" applyFont="1" applyFill="1" applyBorder="1" applyAlignment="1">
      <alignment horizontal="center"/>
    </xf>
    <xf numFmtId="0" fontId="11" fillId="0" borderId="1" xfId="1" quotePrefix="1" applyNumberFormat="1" applyFont="1" applyFill="1" applyBorder="1" applyAlignment="1">
      <alignment horizontal="center"/>
    </xf>
    <xf numFmtId="166" fontId="11" fillId="0" borderId="1" xfId="1" applyNumberFormat="1" applyFont="1" applyFill="1" applyBorder="1" applyAlignment="1">
      <alignment horizontal="center"/>
    </xf>
    <xf numFmtId="164" fontId="10" fillId="0" borderId="1" xfId="1" applyNumberFormat="1" applyFont="1" applyFill="1" applyBorder="1"/>
    <xf numFmtId="0" fontId="30" fillId="11" borderId="29" xfId="0" applyFont="1" applyFill="1" applyBorder="1" applyAlignment="1">
      <alignment horizontal="left" vertical="top" indent="1"/>
    </xf>
    <xf numFmtId="0" fontId="33" fillId="0" borderId="28" xfId="0" applyFont="1" applyFill="1" applyBorder="1" applyAlignment="1">
      <alignment horizontal="center" vertical="top"/>
    </xf>
    <xf numFmtId="0" fontId="30" fillId="0" borderId="29" xfId="0" applyFont="1" applyFill="1" applyBorder="1" applyAlignment="1">
      <alignment horizontal="left" vertical="top"/>
    </xf>
    <xf numFmtId="0" fontId="30" fillId="0" borderId="29" xfId="0" quotePrefix="1" applyFont="1" applyFill="1" applyBorder="1" applyAlignment="1">
      <alignment horizontal="center" vertical="top"/>
    </xf>
    <xf numFmtId="0" fontId="39" fillId="0" borderId="29" xfId="0" applyFont="1" applyFill="1" applyBorder="1" applyAlignment="1">
      <alignment horizontal="left" vertical="top"/>
    </xf>
    <xf numFmtId="0" fontId="30" fillId="0" borderId="29" xfId="0" quotePrefix="1" applyFont="1" applyFill="1" applyBorder="1" applyAlignment="1">
      <alignment horizontal="left" vertical="top"/>
    </xf>
    <xf numFmtId="165" fontId="30" fillId="0" borderId="29" xfId="2" applyNumberFormat="1" applyFont="1" applyFill="1" applyBorder="1" applyAlignment="1">
      <alignment vertical="top"/>
    </xf>
    <xf numFmtId="0" fontId="30" fillId="11" borderId="29" xfId="0" applyFont="1" applyFill="1" applyBorder="1" applyAlignment="1">
      <alignment horizontal="left" vertical="top"/>
    </xf>
    <xf numFmtId="0" fontId="33" fillId="0" borderId="30" xfId="0" applyFont="1" applyFill="1" applyBorder="1" applyAlignment="1">
      <alignment horizontal="center" vertical="top"/>
    </xf>
    <xf numFmtId="14" fontId="30" fillId="0" borderId="32" xfId="0" applyNumberFormat="1" applyFont="1" applyBorder="1" applyAlignment="1">
      <alignment horizontal="left" vertical="top" indent="1"/>
    </xf>
    <xf numFmtId="14" fontId="30" fillId="0" borderId="29" xfId="0" applyNumberFormat="1" applyFont="1" applyBorder="1" applyAlignment="1">
      <alignment horizontal="left" vertical="top" indent="1"/>
    </xf>
    <xf numFmtId="0" fontId="30" fillId="12" borderId="29" xfId="0" applyFont="1" applyFill="1" applyBorder="1" applyAlignment="1">
      <alignment horizontal="left" vertical="top" indent="1"/>
    </xf>
    <xf numFmtId="14" fontId="30" fillId="0" borderId="35" xfId="0" applyNumberFormat="1" applyFont="1" applyBorder="1" applyAlignment="1">
      <alignment horizontal="left" vertical="top" indent="1"/>
    </xf>
    <xf numFmtId="0" fontId="11" fillId="0" borderId="32" xfId="0" quotePrefix="1" applyFont="1" applyBorder="1" applyAlignment="1">
      <alignment horizontal="center" vertical="top"/>
    </xf>
    <xf numFmtId="165" fontId="30" fillId="0" borderId="29" xfId="2" quotePrefix="1" applyNumberFormat="1" applyFont="1" applyBorder="1" applyAlignment="1">
      <alignment horizontal="center" vertical="top"/>
    </xf>
    <xf numFmtId="0" fontId="30" fillId="13" borderId="32" xfId="0" applyFont="1" applyFill="1" applyBorder="1" applyAlignment="1">
      <alignment horizontal="left" vertical="top" indent="1"/>
    </xf>
    <xf numFmtId="0" fontId="30" fillId="16" borderId="32" xfId="0" applyFont="1" applyFill="1" applyBorder="1" applyAlignment="1">
      <alignment horizontal="left" vertical="top" indent="1"/>
    </xf>
    <xf numFmtId="0" fontId="30" fillId="15" borderId="32" xfId="0" applyFont="1" applyFill="1" applyBorder="1" applyAlignment="1">
      <alignment horizontal="left" vertical="top" indent="1"/>
    </xf>
    <xf numFmtId="0" fontId="30" fillId="15" borderId="35" xfId="0" applyFont="1" applyFill="1" applyBorder="1" applyAlignment="1">
      <alignment horizontal="left" vertical="top" indent="1"/>
    </xf>
    <xf numFmtId="165" fontId="30" fillId="0" borderId="29" xfId="2" applyNumberFormat="1" applyFont="1" applyBorder="1" applyAlignment="1">
      <alignment horizontal="center" vertical="top"/>
    </xf>
    <xf numFmtId="0" fontId="30" fillId="0" borderId="35" xfId="0" quotePrefix="1" applyFont="1" applyFill="1" applyBorder="1" applyAlignment="1">
      <alignment horizontal="center" vertical="top"/>
    </xf>
    <xf numFmtId="0" fontId="30" fillId="15" borderId="29" xfId="0" applyFont="1" applyFill="1" applyBorder="1" applyAlignment="1">
      <alignment horizontal="left" vertical="top" wrapText="1" indent="1"/>
    </xf>
    <xf numFmtId="164" fontId="11" fillId="0" borderId="0" xfId="1" applyNumberFormat="1" applyFont="1" applyBorder="1"/>
    <xf numFmtId="0" fontId="12" fillId="3" borderId="0" xfId="0" applyFont="1" applyFill="1" applyBorder="1"/>
    <xf numFmtId="165" fontId="12" fillId="0" borderId="1" xfId="2" quotePrefix="1" applyNumberFormat="1" applyFont="1" applyBorder="1"/>
    <xf numFmtId="0" fontId="9" fillId="0" borderId="1" xfId="0" quotePrefix="1" applyFont="1" applyBorder="1"/>
    <xf numFmtId="0" fontId="13" fillId="0" borderId="1" xfId="0" applyFont="1" applyFill="1" applyBorder="1" applyAlignment="1"/>
    <xf numFmtId="164" fontId="13" fillId="0" borderId="1" xfId="1" applyNumberFormat="1" applyFont="1" applyFill="1" applyBorder="1" applyAlignment="1"/>
    <xf numFmtId="164" fontId="13" fillId="0" borderId="6" xfId="1" applyNumberFormat="1" applyFont="1" applyFill="1" applyBorder="1" applyAlignment="1"/>
    <xf numFmtId="43" fontId="13" fillId="0" borderId="1" xfId="1" applyFont="1" applyFill="1" applyBorder="1" applyAlignment="1"/>
    <xf numFmtId="0" fontId="13" fillId="0" borderId="1" xfId="0" applyFont="1" applyFill="1" applyBorder="1" applyAlignment="1">
      <alignment vertical="center"/>
    </xf>
    <xf numFmtId="164" fontId="13" fillId="0" borderId="1" xfId="1" applyNumberFormat="1" applyFont="1" applyFill="1" applyBorder="1"/>
    <xf numFmtId="166" fontId="13" fillId="0" borderId="1" xfId="1" applyNumberFormat="1" applyFont="1" applyFill="1" applyBorder="1"/>
    <xf numFmtId="164" fontId="5" fillId="18" borderId="0" xfId="1" applyNumberFormat="1" applyFont="1" applyFill="1" applyAlignment="1"/>
    <xf numFmtId="0" fontId="5" fillId="18" borderId="0" xfId="0" applyFont="1" applyFill="1" applyAlignment="1"/>
    <xf numFmtId="0" fontId="5" fillId="18" borderId="0" xfId="0" applyFont="1" applyFill="1"/>
    <xf numFmtId="0" fontId="5" fillId="18" borderId="0" xfId="1" applyNumberFormat="1" applyFont="1" applyFill="1" applyAlignment="1">
      <alignment horizontal="center"/>
    </xf>
    <xf numFmtId="166" fontId="5" fillId="18" borderId="0" xfId="1" applyNumberFormat="1" applyFont="1" applyFill="1" applyAlignment="1">
      <alignment horizontal="center"/>
    </xf>
    <xf numFmtId="43" fontId="5" fillId="18" borderId="0" xfId="1" applyFont="1" applyFill="1" applyAlignment="1"/>
    <xf numFmtId="0" fontId="9" fillId="18" borderId="0" xfId="0" applyFont="1" applyFill="1" applyAlignment="1"/>
    <xf numFmtId="164" fontId="9" fillId="18" borderId="0" xfId="1" applyNumberFormat="1" applyFont="1" applyFill="1" applyAlignment="1"/>
    <xf numFmtId="0" fontId="9" fillId="3" borderId="3" xfId="0" applyFont="1" applyFill="1" applyBorder="1" applyAlignment="1">
      <alignment vertical="top" textRotation="90"/>
    </xf>
    <xf numFmtId="0" fontId="10" fillId="3" borderId="3" xfId="0" applyFont="1" applyFill="1" applyBorder="1" applyAlignment="1">
      <alignment horizontal="left" vertical="top" textRotation="90" wrapText="1"/>
    </xf>
    <xf numFmtId="43" fontId="5" fillId="0" borderId="1" xfId="1" applyNumberFormat="1" applyFont="1" applyFill="1" applyBorder="1" applyAlignment="1"/>
    <xf numFmtId="0" fontId="12" fillId="0" borderId="0" xfId="0" applyFont="1"/>
    <xf numFmtId="0" fontId="18" fillId="0" borderId="15" xfId="4" applyFont="1" applyBorder="1" applyAlignment="1">
      <alignment vertical="top" wrapText="1"/>
    </xf>
    <xf numFmtId="0" fontId="16" fillId="0" borderId="15" xfId="4" applyFont="1" applyBorder="1" applyAlignment="1">
      <alignment horizontal="left" vertical="top"/>
    </xf>
    <xf numFmtId="165" fontId="18" fillId="0" borderId="15" xfId="2" applyNumberFormat="1" applyFont="1" applyBorder="1" applyAlignment="1">
      <alignment vertical="top" shrinkToFit="1"/>
    </xf>
    <xf numFmtId="168" fontId="18" fillId="0" borderId="15" xfId="4" applyNumberFormat="1" applyFont="1" applyBorder="1" applyAlignment="1">
      <alignment vertical="top" shrinkToFit="1"/>
    </xf>
    <xf numFmtId="0" fontId="16" fillId="0" borderId="15" xfId="4" applyFont="1" applyBorder="1" applyAlignment="1">
      <alignment horizontal="center" vertical="top"/>
    </xf>
    <xf numFmtId="0" fontId="18" fillId="0" borderId="15" xfId="4" applyNumberFormat="1" applyFont="1" applyBorder="1" applyAlignment="1">
      <alignment horizontal="center" vertical="top" shrinkToFit="1"/>
    </xf>
    <xf numFmtId="0" fontId="14" fillId="0" borderId="10" xfId="4" applyBorder="1" applyAlignment="1">
      <alignment horizontal="left" vertical="top"/>
    </xf>
    <xf numFmtId="0" fontId="10" fillId="0" borderId="10" xfId="0" applyFont="1" applyBorder="1" applyAlignment="1">
      <alignment horizontal="center"/>
    </xf>
    <xf numFmtId="0" fontId="11" fillId="0" borderId="10" xfId="0" applyFont="1" applyBorder="1"/>
    <xf numFmtId="165" fontId="11" fillId="0" borderId="10" xfId="2" applyNumberFormat="1" applyFont="1" applyBorder="1"/>
    <xf numFmtId="14" fontId="8" fillId="3" borderId="10" xfId="0" applyNumberFormat="1" applyFont="1" applyFill="1" applyBorder="1" applyAlignment="1">
      <alignment horizontal="left" vertical="center"/>
    </xf>
    <xf numFmtId="165" fontId="12" fillId="0" borderId="10" xfId="2" applyNumberFormat="1" applyFont="1" applyBorder="1"/>
    <xf numFmtId="0" fontId="12" fillId="3" borderId="10" xfId="0" applyFont="1" applyFill="1" applyBorder="1"/>
    <xf numFmtId="43" fontId="11" fillId="0" borderId="1" xfId="1" applyNumberFormat="1" applyFont="1" applyBorder="1"/>
    <xf numFmtId="164" fontId="9" fillId="3" borderId="6" xfId="0" applyNumberFormat="1" applyFont="1" applyFill="1" applyBorder="1" applyAlignment="1">
      <alignment horizontal="center"/>
    </xf>
    <xf numFmtId="164" fontId="5" fillId="0" borderId="6" xfId="1" applyNumberFormat="1" applyFont="1" applyBorder="1"/>
    <xf numFmtId="166" fontId="5" fillId="0" borderId="6" xfId="1" applyNumberFormat="1" applyFont="1" applyBorder="1"/>
    <xf numFmtId="0" fontId="5" fillId="3" borderId="6" xfId="1" applyNumberFormat="1" applyFont="1" applyFill="1" applyBorder="1" applyAlignment="1">
      <alignment horizontal="center"/>
    </xf>
    <xf numFmtId="166" fontId="5" fillId="3" borderId="6" xfId="1" applyNumberFormat="1" applyFont="1" applyFill="1" applyBorder="1" applyAlignment="1">
      <alignment horizontal="center"/>
    </xf>
    <xf numFmtId="0" fontId="5" fillId="23" borderId="6" xfId="0" applyFont="1" applyFill="1" applyBorder="1"/>
    <xf numFmtId="0" fontId="9" fillId="0" borderId="1" xfId="0" applyFont="1" applyBorder="1" applyAlignment="1"/>
    <xf numFmtId="165" fontId="30" fillId="0" borderId="35" xfId="2" applyNumberFormat="1" applyFont="1" applyBorder="1" applyAlignment="1">
      <alignment horizontal="center" vertical="top"/>
    </xf>
    <xf numFmtId="0" fontId="5" fillId="0" borderId="6" xfId="0" applyFont="1" applyBorder="1"/>
    <xf numFmtId="1" fontId="5" fillId="0" borderId="6" xfId="0" applyNumberFormat="1" applyFont="1" applyFill="1" applyBorder="1"/>
    <xf numFmtId="166" fontId="9" fillId="3" borderId="0" xfId="1" applyNumberFormat="1" applyFont="1" applyFill="1" applyAlignment="1">
      <alignment horizontal="left"/>
    </xf>
    <xf numFmtId="166" fontId="9" fillId="3" borderId="41" xfId="1" applyNumberFormat="1" applyFont="1" applyFill="1" applyBorder="1" applyAlignment="1">
      <alignment horizontal="left"/>
    </xf>
    <xf numFmtId="166" fontId="9" fillId="18" borderId="0" xfId="1" applyNumberFormat="1" applyFont="1" applyFill="1" applyAlignment="1">
      <alignment horizontal="left"/>
    </xf>
    <xf numFmtId="166" fontId="9" fillId="0" borderId="0" xfId="1" applyNumberFormat="1" applyFont="1" applyAlignment="1">
      <alignment horizontal="left"/>
    </xf>
    <xf numFmtId="0" fontId="42" fillId="3" borderId="0" xfId="0" applyFont="1" applyFill="1" applyAlignment="1">
      <alignment horizontal="center"/>
    </xf>
    <xf numFmtId="0" fontId="42" fillId="3" borderId="0" xfId="0" applyFont="1" applyFill="1" applyAlignment="1"/>
    <xf numFmtId="0" fontId="42" fillId="3" borderId="41" xfId="0" applyFont="1" applyFill="1" applyBorder="1" applyAlignment="1">
      <alignment horizontal="center" wrapText="1"/>
    </xf>
    <xf numFmtId="0" fontId="42" fillId="3" borderId="41" xfId="0" applyFont="1" applyFill="1" applyBorder="1" applyAlignment="1">
      <alignment wrapText="1"/>
    </xf>
    <xf numFmtId="0" fontId="42" fillId="0" borderId="6" xfId="0" applyFont="1" applyFill="1" applyBorder="1" applyAlignment="1">
      <alignment horizontal="center"/>
    </xf>
    <xf numFmtId="0" fontId="42" fillId="0" borderId="1" xfId="0" quotePrefix="1" applyFont="1" applyFill="1" applyBorder="1"/>
    <xf numFmtId="0" fontId="42" fillId="0" borderId="1" xfId="0" applyFont="1" applyFill="1" applyBorder="1" applyAlignment="1">
      <alignment horizontal="center"/>
    </xf>
    <xf numFmtId="0" fontId="42" fillId="0" borderId="1" xfId="0" applyFont="1" applyFill="1" applyBorder="1"/>
    <xf numFmtId="0" fontId="42" fillId="0" borderId="1" xfId="0" quotePrefix="1" applyFont="1" applyFill="1" applyBorder="1" applyAlignment="1">
      <alignment horizontal="center"/>
    </xf>
    <xf numFmtId="0" fontId="42" fillId="18" borderId="0" xfId="0" applyFont="1" applyFill="1" applyAlignment="1">
      <alignment horizontal="center"/>
    </xf>
    <xf numFmtId="0" fontId="42" fillId="18" borderId="0" xfId="0" applyFont="1" applyFill="1" applyAlignment="1"/>
    <xf numFmtId="0" fontId="42" fillId="0" borderId="0" xfId="0" applyFont="1" applyAlignment="1">
      <alignment horizontal="center"/>
    </xf>
    <xf numFmtId="0" fontId="42" fillId="0" borderId="0" xfId="0" applyFont="1" applyAlignment="1"/>
    <xf numFmtId="0" fontId="42" fillId="0" borderId="1" xfId="0" quotePrefix="1" applyFont="1" applyBorder="1" applyAlignment="1">
      <alignment horizontal="center"/>
    </xf>
    <xf numFmtId="0" fontId="42" fillId="0" borderId="1" xfId="0" quotePrefix="1" applyFont="1" applyBorder="1"/>
    <xf numFmtId="165" fontId="10" fillId="26" borderId="3" xfId="2" applyNumberFormat="1" applyFont="1" applyFill="1" applyBorder="1" applyAlignment="1">
      <alignment horizontal="center" vertical="top" wrapText="1"/>
    </xf>
    <xf numFmtId="165" fontId="11" fillId="26" borderId="1" xfId="2" quotePrefix="1" applyNumberFormat="1" applyFont="1" applyFill="1" applyBorder="1"/>
    <xf numFmtId="165" fontId="11" fillId="26" borderId="4" xfId="2" applyNumberFormat="1" applyFont="1" applyFill="1" applyBorder="1"/>
    <xf numFmtId="44" fontId="11" fillId="26" borderId="4" xfId="2" applyNumberFormat="1" applyFont="1" applyFill="1" applyBorder="1"/>
    <xf numFmtId="165" fontId="11" fillId="26" borderId="55" xfId="2" applyNumberFormat="1" applyFont="1" applyFill="1" applyBorder="1"/>
    <xf numFmtId="44" fontId="11" fillId="26" borderId="55" xfId="2" applyNumberFormat="1" applyFont="1" applyFill="1" applyBorder="1"/>
    <xf numFmtId="165" fontId="11" fillId="26" borderId="1" xfId="2" applyNumberFormat="1" applyFont="1" applyFill="1" applyBorder="1"/>
    <xf numFmtId="44" fontId="11" fillId="26" borderId="1" xfId="2" applyNumberFormat="1" applyFont="1" applyFill="1" applyBorder="1"/>
    <xf numFmtId="165" fontId="11" fillId="26" borderId="60" xfId="2" applyNumberFormat="1" applyFont="1" applyFill="1" applyBorder="1"/>
    <xf numFmtId="44" fontId="11" fillId="26" borderId="60" xfId="2" applyNumberFormat="1" applyFont="1" applyFill="1" applyBorder="1"/>
    <xf numFmtId="165" fontId="11" fillId="26" borderId="6" xfId="2" applyNumberFormat="1" applyFont="1" applyFill="1" applyBorder="1"/>
    <xf numFmtId="44" fontId="11" fillId="26" borderId="6" xfId="2" applyNumberFormat="1" applyFont="1" applyFill="1" applyBorder="1"/>
    <xf numFmtId="165" fontId="22" fillId="26" borderId="1" xfId="2" applyNumberFormat="1" applyFont="1" applyFill="1" applyBorder="1"/>
    <xf numFmtId="165" fontId="12" fillId="26" borderId="1" xfId="2" applyNumberFormat="1" applyFont="1" applyFill="1" applyBorder="1"/>
    <xf numFmtId="165" fontId="11" fillId="26" borderId="6" xfId="2" quotePrefix="1" applyNumberFormat="1" applyFont="1" applyFill="1" applyBorder="1"/>
    <xf numFmtId="44" fontId="11" fillId="26" borderId="1" xfId="2" quotePrefix="1" applyNumberFormat="1" applyFont="1" applyFill="1" applyBorder="1"/>
    <xf numFmtId="165" fontId="11" fillId="26" borderId="3" xfId="2" quotePrefix="1" applyNumberFormat="1" applyFont="1" applyFill="1" applyBorder="1"/>
    <xf numFmtId="165" fontId="11" fillId="26" borderId="2" xfId="2" applyNumberFormat="1" applyFont="1" applyFill="1" applyBorder="1"/>
    <xf numFmtId="165" fontId="11" fillId="26" borderId="0" xfId="2" applyNumberFormat="1" applyFont="1" applyFill="1"/>
    <xf numFmtId="165" fontId="10" fillId="26" borderId="3" xfId="2" applyNumberFormat="1" applyFont="1" applyFill="1" applyBorder="1" applyAlignment="1">
      <alignment wrapText="1"/>
    </xf>
    <xf numFmtId="0" fontId="30" fillId="0" borderId="35" xfId="0" applyFont="1" applyFill="1" applyBorder="1" applyAlignment="1">
      <alignment horizontal="left" vertical="top"/>
    </xf>
    <xf numFmtId="0" fontId="30" fillId="0" borderId="35" xfId="0" quotePrefix="1" applyFont="1" applyFill="1" applyBorder="1" applyAlignment="1">
      <alignment horizontal="left" vertical="top"/>
    </xf>
    <xf numFmtId="0" fontId="30" fillId="10" borderId="35" xfId="0" applyFont="1" applyFill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5" fontId="5" fillId="0" borderId="0" xfId="0" applyNumberFormat="1" applyFont="1" applyAlignment="1"/>
    <xf numFmtId="0" fontId="9" fillId="0" borderId="1" xfId="0" applyFont="1" applyBorder="1" applyAlignment="1">
      <alignment horizontal="center" wrapText="1"/>
    </xf>
    <xf numFmtId="164" fontId="5" fillId="0" borderId="0" xfId="1" applyNumberFormat="1" applyFont="1" applyFill="1" applyAlignment="1"/>
    <xf numFmtId="164" fontId="3" fillId="0" borderId="6" xfId="1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166" fontId="9" fillId="0" borderId="0" xfId="1" applyNumberFormat="1" applyFont="1" applyFill="1" applyAlignment="1">
      <alignment horizontal="left"/>
    </xf>
    <xf numFmtId="0" fontId="42" fillId="0" borderId="0" xfId="0" applyFont="1" applyFill="1" applyAlignment="1"/>
    <xf numFmtId="0" fontId="9" fillId="0" borderId="0" xfId="0" applyFont="1" applyFill="1" applyAlignment="1">
      <alignment horizontal="center"/>
    </xf>
    <xf numFmtId="164" fontId="3" fillId="0" borderId="3" xfId="1" applyNumberFormat="1" applyFont="1" applyFill="1" applyBorder="1" applyAlignment="1">
      <alignment horizontal="center" vertical="center"/>
    </xf>
    <xf numFmtId="0" fontId="10" fillId="0" borderId="64" xfId="0" applyFont="1" applyBorder="1" applyAlignment="1">
      <alignment vertical="top" wrapText="1"/>
    </xf>
    <xf numFmtId="0" fontId="11" fillId="0" borderId="65" xfId="0" applyFont="1" applyBorder="1"/>
    <xf numFmtId="0" fontId="11" fillId="0" borderId="13" xfId="0" applyFont="1" applyBorder="1"/>
    <xf numFmtId="0" fontId="11" fillId="0" borderId="66" xfId="0" applyFont="1" applyBorder="1"/>
    <xf numFmtId="0" fontId="10" fillId="0" borderId="0" xfId="0" applyFont="1" applyBorder="1" applyAlignment="1">
      <alignment vertical="top" wrapText="1"/>
    </xf>
    <xf numFmtId="0" fontId="11" fillId="0" borderId="0" xfId="0" applyFont="1" applyBorder="1"/>
    <xf numFmtId="0" fontId="22" fillId="0" borderId="0" xfId="0" applyFont="1" applyBorder="1"/>
    <xf numFmtId="0" fontId="9" fillId="0" borderId="67" xfId="0" applyFont="1" applyBorder="1" applyAlignment="1"/>
    <xf numFmtId="0" fontId="5" fillId="0" borderId="0" xfId="0" applyFont="1" applyBorder="1" applyAlignment="1"/>
    <xf numFmtId="164" fontId="3" fillId="0" borderId="62" xfId="1" applyNumberFormat="1" applyFont="1" applyFill="1" applyBorder="1" applyAlignment="1">
      <alignment horizontal="center" vertical="center"/>
    </xf>
    <xf numFmtId="165" fontId="37" fillId="0" borderId="0" xfId="2" applyNumberFormat="1" applyFont="1"/>
    <xf numFmtId="0" fontId="10" fillId="3" borderId="3" xfId="0" applyFont="1" applyFill="1" applyBorder="1" applyAlignment="1">
      <alignment horizontal="center" vertical="top" textRotation="90" wrapText="1"/>
    </xf>
    <xf numFmtId="0" fontId="0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0" fillId="0" borderId="41" xfId="0" applyBorder="1" applyAlignment="1">
      <alignment vertical="top"/>
    </xf>
    <xf numFmtId="164" fontId="10" fillId="0" borderId="6" xfId="0" quotePrefix="1" applyNumberFormat="1" applyFont="1" applyBorder="1" applyAlignment="1">
      <alignment horizontal="center"/>
    </xf>
    <xf numFmtId="164" fontId="38" fillId="3" borderId="2" xfId="0" applyNumberFormat="1" applyFont="1" applyFill="1" applyBorder="1" applyAlignment="1">
      <alignment horizontal="center"/>
    </xf>
    <xf numFmtId="164" fontId="38" fillId="3" borderId="6" xfId="0" applyNumberFormat="1" applyFont="1" applyFill="1" applyBorder="1" applyAlignment="1">
      <alignment horizontal="center"/>
    </xf>
    <xf numFmtId="164" fontId="38" fillId="3" borderId="1" xfId="0" applyNumberFormat="1" applyFont="1" applyFill="1" applyBorder="1" applyAlignment="1">
      <alignment horizontal="center"/>
    </xf>
    <xf numFmtId="16" fontId="11" fillId="3" borderId="1" xfId="1" quotePrefix="1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top" indent="1"/>
    </xf>
    <xf numFmtId="0" fontId="10" fillId="0" borderId="0" xfId="0" applyFont="1" applyBorder="1" applyAlignment="1">
      <alignment horizontal="center"/>
    </xf>
    <xf numFmtId="0" fontId="9" fillId="21" borderId="68" xfId="0" applyFont="1" applyFill="1" applyBorder="1" applyAlignment="1">
      <alignment horizontal="left" wrapText="1"/>
    </xf>
    <xf numFmtId="0" fontId="5" fillId="0" borderId="6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66" fontId="9" fillId="0" borderId="65" xfId="1" applyNumberFormat="1" applyFont="1" applyFill="1" applyBorder="1" applyAlignment="1">
      <alignment horizontal="left"/>
    </xf>
    <xf numFmtId="166" fontId="9" fillId="0" borderId="13" xfId="1" applyNumberFormat="1" applyFont="1" applyFill="1" applyBorder="1" applyAlignment="1">
      <alignment horizontal="left"/>
    </xf>
    <xf numFmtId="0" fontId="9" fillId="21" borderId="51" xfId="0" applyFont="1" applyFill="1" applyBorder="1" applyAlignment="1"/>
    <xf numFmtId="0" fontId="5" fillId="21" borderId="53" xfId="0" applyFont="1" applyFill="1" applyBorder="1" applyAlignment="1"/>
    <xf numFmtId="0" fontId="5" fillId="21" borderId="52" xfId="0" applyFont="1" applyFill="1" applyBorder="1" applyAlignment="1"/>
    <xf numFmtId="9" fontId="9" fillId="21" borderId="72" xfId="5" applyFont="1" applyFill="1" applyBorder="1" applyAlignment="1"/>
    <xf numFmtId="9" fontId="9" fillId="21" borderId="0" xfId="5" applyFont="1" applyFill="1" applyBorder="1" applyAlignment="1"/>
    <xf numFmtId="9" fontId="9" fillId="21" borderId="73" xfId="5" applyFont="1" applyFill="1" applyBorder="1" applyAlignment="1"/>
    <xf numFmtId="0" fontId="9" fillId="21" borderId="74" xfId="0" applyFont="1" applyFill="1" applyBorder="1" applyAlignment="1">
      <alignment horizontal="left" wrapText="1"/>
    </xf>
    <xf numFmtId="0" fontId="9" fillId="21" borderId="75" xfId="0" applyFont="1" applyFill="1" applyBorder="1" applyAlignment="1">
      <alignment horizontal="left" wrapText="1"/>
    </xf>
    <xf numFmtId="1" fontId="5" fillId="0" borderId="76" xfId="0" applyNumberFormat="1" applyFont="1" applyFill="1" applyBorder="1"/>
    <xf numFmtId="1" fontId="5" fillId="0" borderId="77" xfId="0" applyNumberFormat="1" applyFont="1" applyFill="1" applyBorder="1"/>
    <xf numFmtId="0" fontId="5" fillId="0" borderId="72" xfId="0" applyFont="1" applyBorder="1" applyAlignment="1"/>
    <xf numFmtId="0" fontId="5" fillId="0" borderId="73" xfId="0" applyFont="1" applyBorder="1" applyAlignment="1"/>
    <xf numFmtId="0" fontId="5" fillId="18" borderId="72" xfId="0" applyFont="1" applyFill="1" applyBorder="1" applyAlignment="1"/>
    <xf numFmtId="0" fontId="5" fillId="18" borderId="0" xfId="0" applyFont="1" applyFill="1" applyBorder="1" applyAlignment="1"/>
    <xf numFmtId="0" fontId="5" fillId="18" borderId="73" xfId="0" applyFont="1" applyFill="1" applyBorder="1" applyAlignment="1"/>
    <xf numFmtId="164" fontId="5" fillId="0" borderId="8" xfId="1" applyNumberFormat="1" applyFont="1" applyFill="1" applyBorder="1"/>
    <xf numFmtId="164" fontId="5" fillId="0" borderId="26" xfId="1" applyNumberFormat="1" applyFont="1" applyFill="1" applyBorder="1"/>
    <xf numFmtId="164" fontId="5" fillId="0" borderId="8" xfId="1" applyNumberFormat="1" applyFont="1" applyBorder="1"/>
    <xf numFmtId="164" fontId="5" fillId="0" borderId="26" xfId="1" applyNumberFormat="1" applyFont="1" applyBorder="1"/>
    <xf numFmtId="164" fontId="5" fillId="0" borderId="78" xfId="1" applyNumberFormat="1" applyFont="1" applyFill="1" applyBorder="1"/>
    <xf numFmtId="164" fontId="5" fillId="0" borderId="62" xfId="1" applyNumberFormat="1" applyFont="1" applyFill="1" applyBorder="1"/>
    <xf numFmtId="164" fontId="5" fillId="0" borderId="79" xfId="1" applyNumberFormat="1" applyFont="1" applyFill="1" applyBorder="1"/>
    <xf numFmtId="0" fontId="42" fillId="0" borderId="0" xfId="0" applyFont="1" applyFill="1" applyAlignment="1">
      <alignment horizontal="center"/>
    </xf>
    <xf numFmtId="43" fontId="5" fillId="0" borderId="0" xfId="1" applyFont="1" applyAlignment="1">
      <alignment horizontal="center"/>
    </xf>
    <xf numFmtId="0" fontId="44" fillId="0" borderId="0" xfId="0" applyFont="1" applyFill="1" applyAlignment="1">
      <alignment horizontal="center"/>
    </xf>
    <xf numFmtId="14" fontId="44" fillId="0" borderId="0" xfId="0" applyNumberFormat="1" applyFont="1" applyFill="1" applyAlignment="1"/>
    <xf numFmtId="0" fontId="3" fillId="31" borderId="3" xfId="1" applyNumberFormat="1" applyFont="1" applyFill="1" applyBorder="1" applyAlignment="1">
      <alignment horizontal="left"/>
    </xf>
    <xf numFmtId="0" fontId="9" fillId="31" borderId="3" xfId="0" applyFont="1" applyFill="1" applyBorder="1" applyAlignment="1">
      <alignment horizontal="left"/>
    </xf>
    <xf numFmtId="0" fontId="9" fillId="31" borderId="3" xfId="0" applyFont="1" applyFill="1" applyBorder="1" applyAlignment="1"/>
    <xf numFmtId="43" fontId="9" fillId="31" borderId="3" xfId="1" applyFont="1" applyFill="1" applyBorder="1" applyAlignment="1">
      <alignment horizontal="center"/>
    </xf>
    <xf numFmtId="164" fontId="3" fillId="31" borderId="3" xfId="1" applyNumberFormat="1" applyFont="1" applyFill="1" applyBorder="1" applyAlignment="1">
      <alignment horizontal="left" wrapText="1"/>
    </xf>
    <xf numFmtId="0" fontId="35" fillId="0" borderId="0" xfId="0" applyFont="1" applyFill="1" applyAlignment="1"/>
    <xf numFmtId="0" fontId="5" fillId="20" borderId="6" xfId="0" applyFont="1" applyFill="1" applyBorder="1"/>
    <xf numFmtId="0" fontId="5" fillId="30" borderId="6" xfId="0" applyFont="1" applyFill="1" applyBorder="1"/>
    <xf numFmtId="0" fontId="5" fillId="32" borderId="6" xfId="0" applyFont="1" applyFill="1" applyBorder="1"/>
    <xf numFmtId="0" fontId="5" fillId="3" borderId="6" xfId="0" applyFont="1" applyFill="1" applyBorder="1"/>
    <xf numFmtId="0" fontId="5" fillId="9" borderId="6" xfId="0" applyFont="1" applyFill="1" applyBorder="1"/>
    <xf numFmtId="165" fontId="38" fillId="5" borderId="1" xfId="2" quotePrefix="1" applyNumberFormat="1" applyFont="1" applyFill="1" applyBorder="1"/>
    <xf numFmtId="165" fontId="38" fillId="5" borderId="6" xfId="2" applyNumberFormat="1" applyFont="1" applyFill="1" applyBorder="1"/>
    <xf numFmtId="171" fontId="5" fillId="0" borderId="0" xfId="5" applyNumberFormat="1" applyFont="1" applyAlignment="1"/>
    <xf numFmtId="164" fontId="5" fillId="0" borderId="26" xfId="1" applyNumberFormat="1" applyFont="1" applyBorder="1" applyAlignment="1"/>
    <xf numFmtId="164" fontId="5" fillId="0" borderId="8" xfId="1" applyNumberFormat="1" applyFont="1" applyBorder="1" applyAlignment="1"/>
    <xf numFmtId="0" fontId="9" fillId="31" borderId="7" xfId="0" applyFont="1" applyFill="1" applyBorder="1" applyAlignment="1"/>
    <xf numFmtId="0" fontId="5" fillId="25" borderId="87" xfId="0" applyFont="1" applyFill="1" applyBorder="1" applyAlignment="1">
      <alignment horizontal="center"/>
    </xf>
    <xf numFmtId="0" fontId="5" fillId="28" borderId="87" xfId="0" applyFont="1" applyFill="1" applyBorder="1" applyAlignment="1">
      <alignment horizontal="center"/>
    </xf>
    <xf numFmtId="0" fontId="5" fillId="24" borderId="88" xfId="0" applyFont="1" applyFill="1" applyBorder="1" applyAlignment="1">
      <alignment horizontal="center"/>
    </xf>
    <xf numFmtId="0" fontId="5" fillId="29" borderId="89" xfId="0" applyFont="1" applyFill="1" applyBorder="1" applyAlignment="1">
      <alignment horizontal="center"/>
    </xf>
    <xf numFmtId="0" fontId="5" fillId="17" borderId="88" xfId="0" applyFont="1" applyFill="1" applyBorder="1" applyAlignment="1">
      <alignment horizontal="center"/>
    </xf>
    <xf numFmtId="0" fontId="13" fillId="0" borderId="8" xfId="0" applyFont="1" applyFill="1" applyBorder="1" applyAlignment="1">
      <alignment vertical="top"/>
    </xf>
    <xf numFmtId="0" fontId="5" fillId="0" borderId="8" xfId="0" applyFont="1" applyFill="1" applyBorder="1" applyAlignment="1">
      <alignment vertical="top"/>
    </xf>
    <xf numFmtId="0" fontId="5" fillId="0" borderId="9" xfId="0" applyFont="1" applyFill="1" applyBorder="1" applyAlignment="1">
      <alignment vertical="top"/>
    </xf>
    <xf numFmtId="164" fontId="5" fillId="0" borderId="3" xfId="1" applyNumberFormat="1" applyFont="1" applyBorder="1" applyAlignment="1"/>
    <xf numFmtId="164" fontId="5" fillId="0" borderId="27" xfId="1" applyNumberFormat="1" applyFont="1" applyBorder="1" applyAlignment="1"/>
    <xf numFmtId="164" fontId="5" fillId="0" borderId="9" xfId="1" applyNumberFormat="1" applyFont="1" applyBorder="1" applyAlignment="1"/>
    <xf numFmtId="0" fontId="9" fillId="0" borderId="49" xfId="0" applyFont="1" applyFill="1" applyBorder="1" applyAlignment="1"/>
    <xf numFmtId="164" fontId="9" fillId="0" borderId="19" xfId="0" applyNumberFormat="1" applyFont="1" applyBorder="1" applyAlignment="1"/>
    <xf numFmtId="164" fontId="9" fillId="0" borderId="50" xfId="0" applyNumberFormat="1" applyFont="1" applyBorder="1" applyAlignment="1"/>
    <xf numFmtId="164" fontId="9" fillId="0" borderId="49" xfId="0" applyNumberFormat="1" applyFont="1" applyBorder="1" applyAlignment="1"/>
    <xf numFmtId="0" fontId="13" fillId="0" borderId="9" xfId="0" applyFont="1" applyFill="1" applyBorder="1" applyAlignment="1">
      <alignment vertical="top"/>
    </xf>
    <xf numFmtId="164" fontId="13" fillId="0" borderId="1" xfId="0" applyNumberFormat="1" applyFont="1" applyFill="1" applyBorder="1" applyAlignment="1">
      <alignment vertical="top"/>
    </xf>
    <xf numFmtId="164" fontId="13" fillId="0" borderId="3" xfId="0" applyNumberFormat="1" applyFont="1" applyFill="1" applyBorder="1" applyAlignment="1">
      <alignment vertical="top"/>
    </xf>
    <xf numFmtId="164" fontId="13" fillId="0" borderId="26" xfId="0" applyNumberFormat="1" applyFont="1" applyFill="1" applyBorder="1" applyAlignment="1">
      <alignment vertical="top"/>
    </xf>
    <xf numFmtId="164" fontId="13" fillId="0" borderId="8" xfId="0" applyNumberFormat="1" applyFont="1" applyFill="1" applyBorder="1" applyAlignment="1">
      <alignment vertical="top"/>
    </xf>
    <xf numFmtId="164" fontId="13" fillId="0" borderId="27" xfId="0" applyNumberFormat="1" applyFont="1" applyFill="1" applyBorder="1" applyAlignment="1">
      <alignment vertical="top"/>
    </xf>
    <xf numFmtId="164" fontId="13" fillId="0" borderId="9" xfId="0" applyNumberFormat="1" applyFont="1" applyFill="1" applyBorder="1" applyAlignment="1">
      <alignment vertical="top"/>
    </xf>
    <xf numFmtId="0" fontId="9" fillId="31" borderId="51" xfId="0" applyFont="1" applyFill="1" applyBorder="1" applyAlignment="1"/>
    <xf numFmtId="0" fontId="9" fillId="31" borderId="2" xfId="0" applyFont="1" applyFill="1" applyBorder="1" applyAlignment="1">
      <alignment horizontal="center"/>
    </xf>
    <xf numFmtId="0" fontId="9" fillId="31" borderId="2" xfId="0" applyFont="1" applyFill="1" applyBorder="1" applyAlignment="1"/>
    <xf numFmtId="0" fontId="9" fillId="31" borderId="25" xfId="0" applyFont="1" applyFill="1" applyBorder="1" applyAlignment="1"/>
    <xf numFmtId="0" fontId="9" fillId="31" borderId="13" xfId="0" applyFont="1" applyFill="1" applyBorder="1" applyAlignment="1"/>
    <xf numFmtId="14" fontId="6" fillId="3" borderId="1" xfId="0" quotePrefix="1" applyNumberFormat="1" applyFont="1" applyFill="1" applyBorder="1" applyAlignment="1">
      <alignment horizontal="left" vertical="center" wrapText="1"/>
    </xf>
    <xf numFmtId="164" fontId="5" fillId="0" borderId="0" xfId="1" applyNumberFormat="1" applyFont="1" applyBorder="1"/>
    <xf numFmtId="164" fontId="9" fillId="3" borderId="6" xfId="1" applyNumberFormat="1" applyFont="1" applyFill="1" applyBorder="1" applyAlignment="1">
      <alignment horizontal="center"/>
    </xf>
    <xf numFmtId="0" fontId="5" fillId="8" borderId="90" xfId="0" applyFont="1" applyFill="1" applyBorder="1" applyAlignment="1">
      <alignment horizontal="center" vertical="center"/>
    </xf>
    <xf numFmtId="166" fontId="5" fillId="0" borderId="1" xfId="1" applyNumberFormat="1" applyFont="1" applyBorder="1" applyAlignment="1">
      <alignment vertical="center"/>
    </xf>
    <xf numFmtId="165" fontId="5" fillId="0" borderId="1" xfId="2" applyNumberFormat="1" applyFont="1" applyBorder="1" applyAlignment="1">
      <alignment vertical="center"/>
    </xf>
    <xf numFmtId="165" fontId="5" fillId="0" borderId="26" xfId="0" applyNumberFormat="1" applyFont="1" applyBorder="1" applyAlignment="1">
      <alignment vertical="center"/>
    </xf>
    <xf numFmtId="6" fontId="5" fillId="0" borderId="13" xfId="0" applyNumberFormat="1" applyFont="1" applyBorder="1" applyAlignment="1">
      <alignment vertical="center"/>
    </xf>
    <xf numFmtId="0" fontId="5" fillId="25" borderId="90" xfId="0" applyFont="1" applyFill="1" applyBorder="1" applyAlignment="1">
      <alignment horizontal="center" vertical="center"/>
    </xf>
    <xf numFmtId="0" fontId="5" fillId="28" borderId="90" xfId="0" applyFont="1" applyFill="1" applyBorder="1" applyAlignment="1">
      <alignment horizontal="center" vertical="center"/>
    </xf>
    <xf numFmtId="0" fontId="5" fillId="24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3" xfId="1" applyNumberFormat="1" applyFont="1" applyBorder="1" applyAlignment="1">
      <alignment vertical="center"/>
    </xf>
    <xf numFmtId="165" fontId="5" fillId="0" borderId="3" xfId="2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6" fontId="5" fillId="0" borderId="86" xfId="0" applyNumberFormat="1" applyFont="1" applyBorder="1" applyAlignment="1">
      <alignment vertical="center"/>
    </xf>
    <xf numFmtId="0" fontId="5" fillId="29" borderId="76" xfId="0" applyFont="1" applyFill="1" applyBorder="1" applyAlignment="1">
      <alignment horizontal="center" vertical="center"/>
    </xf>
    <xf numFmtId="166" fontId="5" fillId="0" borderId="6" xfId="1" applyNumberFormat="1" applyFont="1" applyBorder="1" applyAlignment="1">
      <alignment vertical="center"/>
    </xf>
    <xf numFmtId="165" fontId="5" fillId="0" borderId="6" xfId="2" applyNumberFormat="1" applyFont="1" applyBorder="1" applyAlignment="1">
      <alignment vertical="center"/>
    </xf>
    <xf numFmtId="165" fontId="5" fillId="0" borderId="77" xfId="0" applyNumberFormat="1" applyFont="1" applyBorder="1" applyAlignment="1">
      <alignment vertical="center"/>
    </xf>
    <xf numFmtId="0" fontId="5" fillId="17" borderId="9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5" fillId="25" borderId="1" xfId="0" applyFont="1" applyFill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5" fillId="24" borderId="3" xfId="0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vertical="center"/>
    </xf>
    <xf numFmtId="0" fontId="5" fillId="29" borderId="6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17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11" fillId="0" borderId="2" xfId="0" quotePrefix="1" applyFont="1" applyFill="1" applyBorder="1"/>
    <xf numFmtId="0" fontId="47" fillId="0" borderId="0" xfId="0" applyFont="1" applyAlignment="1">
      <alignment vertical="top"/>
    </xf>
    <xf numFmtId="0" fontId="46" fillId="0" borderId="39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7" fillId="0" borderId="29" xfId="0" applyFont="1" applyBorder="1" applyAlignment="1">
      <alignment horizontal="left" vertical="top" wrapText="1"/>
    </xf>
    <xf numFmtId="0" fontId="47" fillId="0" borderId="32" xfId="0" applyFont="1" applyBorder="1" applyAlignment="1">
      <alignment horizontal="left" vertical="top" wrapText="1"/>
    </xf>
    <xf numFmtId="0" fontId="47" fillId="0" borderId="35" xfId="0" applyFont="1" applyBorder="1" applyAlignment="1">
      <alignment horizontal="left" vertical="top" wrapText="1"/>
    </xf>
    <xf numFmtId="0" fontId="47" fillId="0" borderId="0" xfId="0" applyFont="1" applyBorder="1" applyAlignment="1">
      <alignment horizontal="left" vertical="top" wrapText="1"/>
    </xf>
    <xf numFmtId="0" fontId="47" fillId="0" borderId="0" xfId="0" applyFont="1" applyBorder="1" applyAlignment="1">
      <alignment vertical="top"/>
    </xf>
    <xf numFmtId="0" fontId="47" fillId="0" borderId="0" xfId="0" applyFont="1" applyFill="1" applyBorder="1" applyAlignment="1">
      <alignment vertical="top"/>
    </xf>
    <xf numFmtId="0" fontId="47" fillId="0" borderId="0" xfId="0" applyFont="1" applyAlignment="1">
      <alignment horizontal="left" vertical="top" wrapText="1"/>
    </xf>
    <xf numFmtId="0" fontId="47" fillId="0" borderId="0" xfId="0" applyFont="1" applyFill="1" applyAlignment="1">
      <alignment vertical="top"/>
    </xf>
    <xf numFmtId="0" fontId="47" fillId="0" borderId="0" xfId="0" applyFont="1" applyFill="1" applyBorder="1" applyAlignment="1">
      <alignment horizontal="left" vertical="top" wrapText="1"/>
    </xf>
    <xf numFmtId="0" fontId="48" fillId="0" borderId="0" xfId="0" applyFont="1" applyAlignment="1">
      <alignment vertical="top"/>
    </xf>
    <xf numFmtId="0" fontId="49" fillId="8" borderId="0" xfId="0" applyFont="1" applyFill="1" applyAlignment="1">
      <alignment horizontal="left" vertical="top" wrapText="1"/>
    </xf>
    <xf numFmtId="0" fontId="49" fillId="0" borderId="0" xfId="0" applyFont="1" applyAlignment="1">
      <alignment vertical="top"/>
    </xf>
    <xf numFmtId="0" fontId="48" fillId="9" borderId="29" xfId="0" applyFont="1" applyFill="1" applyBorder="1" applyAlignment="1">
      <alignment horizontal="left" vertical="top" wrapText="1"/>
    </xf>
    <xf numFmtId="0" fontId="47" fillId="0" borderId="0" xfId="0" applyFont="1" applyFill="1" applyAlignment="1">
      <alignment horizontal="left" vertical="top" wrapText="1"/>
    </xf>
    <xf numFmtId="0" fontId="43" fillId="0" borderId="0" xfId="0" applyFont="1" applyFill="1" applyAlignment="1"/>
    <xf numFmtId="9" fontId="5" fillId="0" borderId="0" xfId="5" applyFont="1" applyAlignment="1"/>
    <xf numFmtId="0" fontId="7" fillId="0" borderId="0" xfId="0" applyFont="1" applyBorder="1" applyAlignment="1"/>
    <xf numFmtId="164" fontId="3" fillId="8" borderId="1" xfId="1" applyNumberFormat="1" applyFont="1" applyFill="1" applyBorder="1" applyAlignment="1">
      <alignment horizontal="left" vertical="center" wrapText="1"/>
    </xf>
    <xf numFmtId="164" fontId="3" fillId="8" borderId="3" xfId="1" applyNumberFormat="1" applyFont="1" applyFill="1" applyBorder="1" applyAlignment="1">
      <alignment horizontal="left" vertical="center" wrapText="1"/>
    </xf>
    <xf numFmtId="164" fontId="3" fillId="0" borderId="91" xfId="1" applyNumberFormat="1" applyFont="1" applyFill="1" applyBorder="1" applyAlignment="1">
      <alignment horizontal="center" vertical="center"/>
    </xf>
    <xf numFmtId="165" fontId="9" fillId="8" borderId="18" xfId="0" applyNumberFormat="1" applyFont="1" applyFill="1" applyBorder="1" applyAlignment="1">
      <alignment vertical="center" wrapText="1"/>
    </xf>
    <xf numFmtId="165" fontId="9" fillId="8" borderId="62" xfId="0" applyNumberFormat="1" applyFont="1" applyFill="1" applyBorder="1" applyAlignment="1">
      <alignment vertical="center" wrapText="1"/>
    </xf>
    <xf numFmtId="165" fontId="5" fillId="8" borderId="67" xfId="0" applyNumberFormat="1" applyFont="1" applyFill="1" applyBorder="1" applyAlignment="1">
      <alignment vertical="center" wrapText="1"/>
    </xf>
    <xf numFmtId="165" fontId="5" fillId="8" borderId="95" xfId="0" applyNumberFormat="1" applyFont="1" applyFill="1" applyBorder="1" applyAlignment="1">
      <alignment vertical="center" wrapText="1"/>
    </xf>
    <xf numFmtId="0" fontId="8" fillId="0" borderId="0" xfId="0" applyFont="1" applyBorder="1" applyAlignment="1"/>
    <xf numFmtId="6" fontId="9" fillId="0" borderId="0" xfId="0" applyNumberFormat="1" applyFont="1" applyAlignment="1"/>
    <xf numFmtId="0" fontId="51" fillId="0" borderId="0" xfId="0" applyFont="1" applyAlignment="1"/>
    <xf numFmtId="9" fontId="11" fillId="26" borderId="1" xfId="5" applyFont="1" applyFill="1" applyBorder="1"/>
    <xf numFmtId="164" fontId="24" fillId="0" borderId="6" xfId="1" applyNumberFormat="1" applyFont="1" applyFill="1" applyBorder="1" applyAlignment="1">
      <alignment horizontal="center" vertical="center"/>
    </xf>
    <xf numFmtId="164" fontId="3" fillId="8" borderId="6" xfId="1" applyNumberFormat="1" applyFont="1" applyFill="1" applyBorder="1" applyAlignment="1">
      <alignment horizontal="left" vertical="center" wrapText="1"/>
    </xf>
    <xf numFmtId="165" fontId="5" fillId="8" borderId="18" xfId="0" applyNumberFormat="1" applyFont="1" applyFill="1" applyBorder="1" applyAlignment="1">
      <alignment vertical="center" wrapText="1"/>
    </xf>
    <xf numFmtId="0" fontId="24" fillId="31" borderId="3" xfId="1" applyNumberFormat="1" applyFont="1" applyFill="1" applyBorder="1" applyAlignment="1">
      <alignment horizontal="left"/>
    </xf>
    <xf numFmtId="166" fontId="9" fillId="31" borderId="3" xfId="1" applyNumberFormat="1" applyFont="1" applyFill="1" applyBorder="1" applyAlignment="1">
      <alignment horizontal="left"/>
    </xf>
    <xf numFmtId="0" fontId="42" fillId="31" borderId="3" xfId="0" applyFont="1" applyFill="1" applyBorder="1" applyAlignment="1">
      <alignment wrapText="1"/>
    </xf>
    <xf numFmtId="0" fontId="9" fillId="31" borderId="3" xfId="0" applyFont="1" applyFill="1" applyBorder="1" applyAlignment="1">
      <alignment horizontal="center" wrapText="1"/>
    </xf>
    <xf numFmtId="0" fontId="42" fillId="31" borderId="3" xfId="0" applyFont="1" applyFill="1" applyBorder="1" applyAlignment="1">
      <alignment horizontal="left" wrapText="1"/>
    </xf>
    <xf numFmtId="0" fontId="9" fillId="31" borderId="3" xfId="0" applyFont="1" applyFill="1" applyBorder="1" applyAlignment="1">
      <alignment wrapText="1"/>
    </xf>
    <xf numFmtId="0" fontId="9" fillId="31" borderId="64" xfId="0" applyFont="1" applyFill="1" applyBorder="1" applyAlignment="1"/>
    <xf numFmtId="0" fontId="3" fillId="8" borderId="6" xfId="1" applyNumberFormat="1" applyFont="1" applyFill="1" applyBorder="1" applyAlignment="1">
      <alignment horizontal="center" vertical="center"/>
    </xf>
    <xf numFmtId="0" fontId="43" fillId="8" borderId="6" xfId="1" quotePrefix="1" applyNumberFormat="1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vertical="center"/>
    </xf>
    <xf numFmtId="43" fontId="5" fillId="8" borderId="6" xfId="1" quotePrefix="1" applyFont="1" applyFill="1" applyBorder="1" applyAlignment="1">
      <alignment horizontal="center" vertical="center"/>
    </xf>
    <xf numFmtId="166" fontId="9" fillId="8" borderId="6" xfId="1" applyNumberFormat="1" applyFont="1" applyFill="1" applyBorder="1" applyAlignment="1">
      <alignment horizontal="left" vertical="center"/>
    </xf>
    <xf numFmtId="0" fontId="43" fillId="8" borderId="69" xfId="0" quotePrefix="1" applyFont="1" applyFill="1" applyBorder="1" applyAlignment="1">
      <alignment vertical="center" wrapText="1"/>
    </xf>
    <xf numFmtId="0" fontId="5" fillId="8" borderId="81" xfId="0" applyFont="1" applyFill="1" applyBorder="1" applyAlignment="1">
      <alignment horizontal="center" vertical="center" wrapText="1"/>
    </xf>
    <xf numFmtId="165" fontId="43" fillId="8" borderId="65" xfId="2" applyNumberFormat="1" applyFont="1" applyFill="1" applyBorder="1" applyAlignment="1">
      <alignment vertical="center" wrapText="1"/>
    </xf>
    <xf numFmtId="0" fontId="43" fillId="8" borderId="6" xfId="0" applyFont="1" applyFill="1" applyBorder="1" applyAlignment="1">
      <alignment horizontal="center" vertical="center" wrapText="1"/>
    </xf>
    <xf numFmtId="0" fontId="9" fillId="8" borderId="67" xfId="0" applyFont="1" applyFill="1" applyBorder="1" applyAlignment="1">
      <alignment vertical="center" wrapText="1"/>
    </xf>
    <xf numFmtId="0" fontId="5" fillId="8" borderId="67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3" fillId="8" borderId="1" xfId="1" applyNumberFormat="1" applyFont="1" applyFill="1" applyBorder="1" applyAlignment="1">
      <alignment horizontal="center" vertical="center"/>
    </xf>
    <xf numFmtId="0" fontId="43" fillId="8" borderId="1" xfId="1" quotePrefix="1" applyNumberFormat="1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vertical="center"/>
    </xf>
    <xf numFmtId="43" fontId="5" fillId="8" borderId="1" xfId="1" quotePrefix="1" applyFont="1" applyFill="1" applyBorder="1" applyAlignment="1">
      <alignment horizontal="center" vertical="center"/>
    </xf>
    <xf numFmtId="166" fontId="9" fillId="8" borderId="40" xfId="1" applyNumberFormat="1" applyFont="1" applyFill="1" applyBorder="1" applyAlignment="1">
      <alignment horizontal="left" vertical="center"/>
    </xf>
    <xf numFmtId="0" fontId="43" fillId="8" borderId="66" xfId="0" quotePrefix="1" applyFont="1" applyFill="1" applyBorder="1" applyAlignment="1">
      <alignment vertical="center" wrapText="1"/>
    </xf>
    <xf numFmtId="0" fontId="5" fillId="8" borderId="82" xfId="0" applyFont="1" applyFill="1" applyBorder="1" applyAlignment="1">
      <alignment horizontal="center" vertical="center" wrapText="1"/>
    </xf>
    <xf numFmtId="165" fontId="43" fillId="8" borderId="66" xfId="2" applyNumberFormat="1" applyFont="1" applyFill="1" applyBorder="1" applyAlignment="1">
      <alignment vertical="center" wrapText="1"/>
    </xf>
    <xf numFmtId="0" fontId="43" fillId="8" borderId="66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/>
    </xf>
    <xf numFmtId="0" fontId="3" fillId="8" borderId="3" xfId="1" applyNumberFormat="1" applyFont="1" applyFill="1" applyBorder="1" applyAlignment="1">
      <alignment horizontal="center" vertical="center"/>
    </xf>
    <xf numFmtId="0" fontId="43" fillId="8" borderId="3" xfId="1" quotePrefix="1" applyNumberFormat="1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vertical="center"/>
    </xf>
    <xf numFmtId="0" fontId="5" fillId="8" borderId="3" xfId="0" quotePrefix="1" applyFont="1" applyFill="1" applyBorder="1" applyAlignment="1">
      <alignment vertical="center"/>
    </xf>
    <xf numFmtId="43" fontId="5" fillId="8" borderId="3" xfId="1" quotePrefix="1" applyFont="1" applyFill="1" applyBorder="1" applyAlignment="1">
      <alignment horizontal="center" vertical="center"/>
    </xf>
    <xf numFmtId="166" fontId="9" fillId="8" borderId="68" xfId="1" applyNumberFormat="1" applyFont="1" applyFill="1" applyBorder="1" applyAlignment="1">
      <alignment horizontal="left" vertical="center"/>
    </xf>
    <xf numFmtId="0" fontId="43" fillId="8" borderId="86" xfId="0" quotePrefix="1" applyFont="1" applyFill="1" applyBorder="1" applyAlignment="1">
      <alignment vertical="center" wrapText="1"/>
    </xf>
    <xf numFmtId="0" fontId="5" fillId="8" borderId="83" xfId="0" applyFont="1" applyFill="1" applyBorder="1" applyAlignment="1">
      <alignment horizontal="center" vertical="center" wrapText="1"/>
    </xf>
    <xf numFmtId="165" fontId="43" fillId="8" borderId="86" xfId="2" applyNumberFormat="1" applyFont="1" applyFill="1" applyBorder="1" applyAlignment="1">
      <alignment vertical="center" wrapText="1"/>
    </xf>
    <xf numFmtId="0" fontId="43" fillId="8" borderId="86" xfId="0" applyFont="1" applyFill="1" applyBorder="1" applyAlignment="1">
      <alignment horizontal="center" vertical="center" wrapText="1"/>
    </xf>
    <xf numFmtId="0" fontId="9" fillId="8" borderId="95" xfId="0" applyFont="1" applyFill="1" applyBorder="1" applyAlignment="1">
      <alignment vertical="center" wrapText="1"/>
    </xf>
    <xf numFmtId="0" fontId="5" fillId="8" borderId="95" xfId="0" applyFont="1" applyFill="1" applyBorder="1" applyAlignment="1">
      <alignment vertical="center" wrapText="1"/>
    </xf>
    <xf numFmtId="0" fontId="9" fillId="0" borderId="41" xfId="0" applyFont="1" applyBorder="1" applyAlignment="1">
      <alignment vertical="center"/>
    </xf>
    <xf numFmtId="164" fontId="9" fillId="3" borderId="6" xfId="0" applyNumberFormat="1" applyFont="1" applyFill="1" applyBorder="1" applyAlignment="1">
      <alignment horizontal="center" vertical="center"/>
    </xf>
    <xf numFmtId="0" fontId="43" fillId="0" borderId="6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43" fontId="5" fillId="0" borderId="6" xfId="1" applyFont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166" fontId="9" fillId="0" borderId="6" xfId="1" applyNumberFormat="1" applyFont="1" applyFill="1" applyBorder="1" applyAlignment="1">
      <alignment horizontal="left" vertical="center"/>
    </xf>
    <xf numFmtId="0" fontId="42" fillId="0" borderId="69" xfId="0" quotePrefix="1" applyFont="1" applyFill="1" applyBorder="1" applyAlignment="1">
      <alignment vertical="center"/>
    </xf>
    <xf numFmtId="0" fontId="5" fillId="0" borderId="81" xfId="0" applyFont="1" applyFill="1" applyBorder="1" applyAlignment="1">
      <alignment horizontal="center" vertical="center"/>
    </xf>
    <xf numFmtId="165" fontId="43" fillId="0" borderId="65" xfId="2" quotePrefix="1" applyNumberFormat="1" applyFont="1" applyFill="1" applyBorder="1" applyAlignment="1">
      <alignment vertical="center"/>
    </xf>
    <xf numFmtId="0" fontId="43" fillId="0" borderId="6" xfId="0" quotePrefix="1" applyFont="1" applyFill="1" applyBorder="1" applyAlignment="1">
      <alignment horizontal="center" vertical="center"/>
    </xf>
    <xf numFmtId="165" fontId="5" fillId="0" borderId="6" xfId="2" quotePrefix="1" applyNumberFormat="1" applyFont="1" applyFill="1" applyBorder="1" applyAlignment="1">
      <alignment vertical="center"/>
    </xf>
    <xf numFmtId="165" fontId="5" fillId="0" borderId="2" xfId="2" quotePrefix="1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2" fillId="0" borderId="69" xfId="0" applyFont="1" applyFill="1" applyBorder="1" applyAlignment="1">
      <alignment vertical="center"/>
    </xf>
    <xf numFmtId="165" fontId="5" fillId="0" borderId="1" xfId="2" quotePrefix="1" applyNumberFormat="1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43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horizontal="center" vertical="center"/>
    </xf>
    <xf numFmtId="0" fontId="42" fillId="0" borderId="40" xfId="0" applyFont="1" applyFill="1" applyBorder="1" applyAlignment="1">
      <alignment vertical="center"/>
    </xf>
    <xf numFmtId="0" fontId="5" fillId="0" borderId="82" xfId="0" applyFont="1" applyFill="1" applyBorder="1" applyAlignment="1">
      <alignment horizontal="center" vertical="center"/>
    </xf>
    <xf numFmtId="165" fontId="43" fillId="0" borderId="13" xfId="2" quotePrefix="1" applyNumberFormat="1" applyFont="1" applyFill="1" applyBorder="1" applyAlignment="1">
      <alignment vertical="center"/>
    </xf>
    <xf numFmtId="0" fontId="43" fillId="0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0" fontId="42" fillId="0" borderId="40" xfId="0" quotePrefix="1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0" fontId="52" fillId="0" borderId="1" xfId="0" quotePrefix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43" fontId="13" fillId="0" borderId="1" xfId="1" applyFont="1" applyBorder="1" applyAlignment="1">
      <alignment horizontal="center" vertical="center"/>
    </xf>
    <xf numFmtId="0" fontId="50" fillId="0" borderId="1" xfId="0" applyFont="1" applyFill="1" applyBorder="1" applyAlignment="1">
      <alignment vertical="center"/>
    </xf>
    <xf numFmtId="164" fontId="5" fillId="0" borderId="6" xfId="1" applyNumberFormat="1" applyFont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left" vertical="center"/>
    </xf>
    <xf numFmtId="165" fontId="8" fillId="0" borderId="1" xfId="2" quotePrefix="1" applyNumberFormat="1" applyFont="1" applyFill="1" applyBorder="1" applyAlignment="1">
      <alignment vertical="center"/>
    </xf>
    <xf numFmtId="0" fontId="8" fillId="0" borderId="85" xfId="0" applyFont="1" applyBorder="1" applyAlignment="1">
      <alignment vertical="center"/>
    </xf>
    <xf numFmtId="0" fontId="7" fillId="0" borderId="65" xfId="0" quotePrefix="1" applyFont="1" applyFill="1" applyBorder="1" applyAlignment="1">
      <alignment vertical="center"/>
    </xf>
    <xf numFmtId="0" fontId="5" fillId="0" borderId="85" xfId="0" applyFont="1" applyBorder="1" applyAlignment="1">
      <alignment vertical="center"/>
    </xf>
    <xf numFmtId="0" fontId="9" fillId="0" borderId="13" xfId="0" quotePrefix="1" applyFont="1" applyFill="1" applyBorder="1" applyAlignment="1">
      <alignment vertical="center"/>
    </xf>
    <xf numFmtId="0" fontId="3" fillId="3" borderId="1" xfId="1" quotePrefix="1" applyNumberFormat="1" applyFont="1" applyFill="1" applyBorder="1" applyAlignment="1">
      <alignment horizontal="center" vertical="center"/>
    </xf>
    <xf numFmtId="165" fontId="5" fillId="0" borderId="40" xfId="2" quotePrefix="1" applyNumberFormat="1" applyFont="1" applyFill="1" applyBorder="1" applyAlignment="1">
      <alignment vertical="center"/>
    </xf>
    <xf numFmtId="165" fontId="5" fillId="0" borderId="4" xfId="2" quotePrefix="1" applyNumberFormat="1" applyFont="1" applyFill="1" applyBorder="1" applyAlignment="1">
      <alignment vertical="center"/>
    </xf>
    <xf numFmtId="0" fontId="3" fillId="3" borderId="3" xfId="1" quotePrefix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quotePrefix="1" applyFont="1" applyFill="1" applyBorder="1" applyAlignment="1">
      <alignment vertical="center"/>
    </xf>
    <xf numFmtId="164" fontId="5" fillId="0" borderId="3" xfId="1" applyNumberFormat="1" applyFont="1" applyBorder="1" applyAlignment="1">
      <alignment horizontal="center" vertical="center"/>
    </xf>
    <xf numFmtId="166" fontId="9" fillId="0" borderId="3" xfId="1" applyNumberFormat="1" applyFont="1" applyFill="1" applyBorder="1" applyAlignment="1">
      <alignment horizontal="left" vertical="center"/>
    </xf>
    <xf numFmtId="0" fontId="42" fillId="0" borderId="68" xfId="0" quotePrefix="1" applyFont="1" applyFill="1" applyBorder="1" applyAlignment="1">
      <alignment vertical="center"/>
    </xf>
    <xf numFmtId="0" fontId="5" fillId="0" borderId="83" xfId="0" applyFont="1" applyFill="1" applyBorder="1" applyAlignment="1">
      <alignment horizontal="center" vertical="center"/>
    </xf>
    <xf numFmtId="165" fontId="43" fillId="0" borderId="64" xfId="2" quotePrefix="1" applyNumberFormat="1" applyFont="1" applyFill="1" applyBorder="1" applyAlignment="1">
      <alignment vertical="center"/>
    </xf>
    <xf numFmtId="0" fontId="43" fillId="0" borderId="3" xfId="0" quotePrefix="1" applyFont="1" applyFill="1" applyBorder="1" applyAlignment="1">
      <alignment horizontal="center" vertical="center"/>
    </xf>
    <xf numFmtId="165" fontId="5" fillId="0" borderId="68" xfId="2" quotePrefix="1" applyNumberFormat="1" applyFont="1" applyFill="1" applyBorder="1" applyAlignment="1">
      <alignment vertical="center"/>
    </xf>
    <xf numFmtId="165" fontId="9" fillId="0" borderId="5" xfId="2" quotePrefix="1" applyNumberFormat="1" applyFont="1" applyFill="1" applyBorder="1" applyAlignment="1">
      <alignment vertical="center"/>
    </xf>
    <xf numFmtId="0" fontId="7" fillId="0" borderId="64" xfId="0" quotePrefix="1" applyFont="1" applyFill="1" applyBorder="1" applyAlignment="1">
      <alignment vertical="center"/>
    </xf>
    <xf numFmtId="0" fontId="52" fillId="0" borderId="3" xfId="0" quotePrefix="1" applyFont="1" applyFill="1" applyBorder="1" applyAlignment="1">
      <alignment vertical="center"/>
    </xf>
    <xf numFmtId="0" fontId="5" fillId="0" borderId="13" xfId="0" quotePrefix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6" xfId="0" quotePrefix="1" applyFont="1" applyFill="1" applyBorder="1" applyAlignment="1">
      <alignment vertical="center"/>
    </xf>
    <xf numFmtId="164" fontId="13" fillId="0" borderId="1" xfId="1" applyNumberFormat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vertical="center"/>
    </xf>
    <xf numFmtId="0" fontId="5" fillId="0" borderId="65" xfId="0" quotePrefix="1" applyFont="1" applyFill="1" applyBorder="1" applyAlignment="1">
      <alignment vertical="center"/>
    </xf>
    <xf numFmtId="0" fontId="9" fillId="0" borderId="65" xfId="0" quotePrefix="1" applyFont="1" applyFill="1" applyBorder="1" applyAlignment="1">
      <alignment vertical="center"/>
    </xf>
    <xf numFmtId="0" fontId="3" fillId="3" borderId="62" xfId="1" applyNumberFormat="1" applyFont="1" applyFill="1" applyBorder="1" applyAlignment="1">
      <alignment horizontal="center" vertical="center"/>
    </xf>
    <xf numFmtId="0" fontId="43" fillId="0" borderId="62" xfId="1" applyNumberFormat="1" applyFont="1" applyFill="1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43" fontId="5" fillId="0" borderId="62" xfId="1" applyFont="1" applyBorder="1" applyAlignment="1">
      <alignment horizontal="center" vertical="center"/>
    </xf>
    <xf numFmtId="166" fontId="9" fillId="0" borderId="62" xfId="1" applyNumberFormat="1" applyFont="1" applyFill="1" applyBorder="1" applyAlignment="1">
      <alignment horizontal="left" vertical="center"/>
    </xf>
    <xf numFmtId="0" fontId="42" fillId="0" borderId="63" xfId="0" quotePrefix="1" applyFont="1" applyFill="1" applyBorder="1" applyAlignment="1">
      <alignment vertical="center"/>
    </xf>
    <xf numFmtId="0" fontId="5" fillId="0" borderId="80" xfId="0" applyFont="1" applyFill="1" applyBorder="1" applyAlignment="1">
      <alignment horizontal="center" vertical="center"/>
    </xf>
    <xf numFmtId="165" fontId="43" fillId="0" borderId="95" xfId="2" quotePrefix="1" applyNumberFormat="1" applyFont="1" applyFill="1" applyBorder="1" applyAlignment="1">
      <alignment vertical="center"/>
    </xf>
    <xf numFmtId="0" fontId="43" fillId="0" borderId="62" xfId="0" quotePrefix="1" applyFont="1" applyFill="1" applyBorder="1" applyAlignment="1">
      <alignment horizontal="center" vertical="center"/>
    </xf>
    <xf numFmtId="0" fontId="5" fillId="0" borderId="95" xfId="0" quotePrefix="1" applyFont="1" applyFill="1" applyBorder="1" applyAlignment="1">
      <alignment vertical="center"/>
    </xf>
    <xf numFmtId="0" fontId="9" fillId="0" borderId="63" xfId="0" applyFont="1" applyBorder="1" applyAlignment="1">
      <alignment vertical="center"/>
    </xf>
    <xf numFmtId="164" fontId="24" fillId="3" borderId="1" xfId="0" applyNumberFormat="1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0" fontId="43" fillId="0" borderId="4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43" fontId="5" fillId="0" borderId="4" xfId="1" applyFont="1" applyBorder="1" applyAlignment="1">
      <alignment horizontal="center" vertical="center"/>
    </xf>
    <xf numFmtId="166" fontId="9" fillId="0" borderId="18" xfId="1" applyNumberFormat="1" applyFont="1" applyFill="1" applyBorder="1" applyAlignment="1">
      <alignment horizontal="left" vertical="center"/>
    </xf>
    <xf numFmtId="0" fontId="42" fillId="0" borderId="70" xfId="0" applyFont="1" applyFill="1" applyBorder="1" applyAlignment="1">
      <alignment vertical="center"/>
    </xf>
    <xf numFmtId="0" fontId="43" fillId="0" borderId="4" xfId="0" quotePrefix="1" applyFont="1" applyFill="1" applyBorder="1" applyAlignment="1">
      <alignment horizontal="center" vertical="center"/>
    </xf>
    <xf numFmtId="0" fontId="5" fillId="0" borderId="71" xfId="0" quotePrefix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66" fontId="9" fillId="0" borderId="4" xfId="1" applyNumberFormat="1" applyFont="1" applyFill="1" applyBorder="1" applyAlignment="1">
      <alignment horizontal="left" vertical="center"/>
    </xf>
    <xf numFmtId="0" fontId="42" fillId="0" borderId="70" xfId="0" quotePrefix="1" applyFont="1" applyFill="1" applyBorder="1" applyAlignment="1">
      <alignment vertical="center"/>
    </xf>
    <xf numFmtId="0" fontId="5" fillId="0" borderId="4" xfId="0" quotePrefix="1" applyFont="1" applyFill="1" applyBorder="1" applyAlignment="1">
      <alignment vertical="center"/>
    </xf>
    <xf numFmtId="164" fontId="9" fillId="3" borderId="91" xfId="0" applyNumberFormat="1" applyFont="1" applyFill="1" applyBorder="1" applyAlignment="1">
      <alignment horizontal="center" vertical="center"/>
    </xf>
    <xf numFmtId="0" fontId="43" fillId="0" borderId="91" xfId="1" applyNumberFormat="1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vertical="center"/>
    </xf>
    <xf numFmtId="43" fontId="5" fillId="0" borderId="91" xfId="1" applyFont="1" applyBorder="1" applyAlignment="1">
      <alignment horizontal="center" vertical="center"/>
    </xf>
    <xf numFmtId="166" fontId="9" fillId="0" borderId="91" xfId="1" applyNumberFormat="1" applyFont="1" applyFill="1" applyBorder="1" applyAlignment="1">
      <alignment horizontal="left" vertical="center"/>
    </xf>
    <xf numFmtId="0" fontId="42" fillId="0" borderId="92" xfId="0" quotePrefix="1" applyFont="1" applyFill="1" applyBorder="1" applyAlignment="1">
      <alignment vertical="center"/>
    </xf>
    <xf numFmtId="0" fontId="5" fillId="0" borderId="93" xfId="0" applyFont="1" applyFill="1" applyBorder="1" applyAlignment="1">
      <alignment horizontal="center" vertical="center"/>
    </xf>
    <xf numFmtId="165" fontId="43" fillId="0" borderId="94" xfId="2" quotePrefix="1" applyNumberFormat="1" applyFont="1" applyFill="1" applyBorder="1" applyAlignment="1">
      <alignment vertical="center"/>
    </xf>
    <xf numFmtId="0" fontId="43" fillId="0" borderId="91" xfId="0" quotePrefix="1" applyFont="1" applyFill="1" applyBorder="1" applyAlignment="1">
      <alignment horizontal="center" vertical="center"/>
    </xf>
    <xf numFmtId="165" fontId="8" fillId="0" borderId="98" xfId="2" quotePrefix="1" applyNumberFormat="1" applyFont="1" applyFill="1" applyBorder="1" applyAlignment="1">
      <alignment vertical="center"/>
    </xf>
    <xf numFmtId="0" fontId="9" fillId="0" borderId="94" xfId="0" quotePrefix="1" applyFont="1" applyFill="1" applyBorder="1" applyAlignment="1">
      <alignment vertical="center"/>
    </xf>
    <xf numFmtId="0" fontId="7" fillId="0" borderId="91" xfId="0" quotePrefix="1" applyFont="1" applyFill="1" applyBorder="1" applyAlignment="1">
      <alignment vertical="center"/>
    </xf>
    <xf numFmtId="0" fontId="9" fillId="0" borderId="97" xfId="0" applyFont="1" applyBorder="1" applyAlignment="1">
      <alignment vertical="center"/>
    </xf>
    <xf numFmtId="0" fontId="5" fillId="0" borderId="65" xfId="0" applyFont="1" applyFill="1" applyBorder="1" applyAlignment="1">
      <alignment vertical="center"/>
    </xf>
    <xf numFmtId="0" fontId="13" fillId="0" borderId="65" xfId="0" applyFont="1" applyFill="1" applyBorder="1" applyAlignment="1">
      <alignment vertical="center"/>
    </xf>
    <xf numFmtId="0" fontId="13" fillId="0" borderId="81" xfId="0" applyFont="1" applyFill="1" applyBorder="1" applyAlignment="1">
      <alignment horizontal="center" vertical="center"/>
    </xf>
    <xf numFmtId="0" fontId="13" fillId="0" borderId="65" xfId="0" quotePrefix="1" applyFont="1" applyFill="1" applyBorder="1" applyAlignment="1">
      <alignment vertical="center"/>
    </xf>
    <xf numFmtId="0" fontId="7" fillId="0" borderId="6" xfId="0" quotePrefix="1" applyFont="1" applyFill="1" applyBorder="1" applyAlignment="1">
      <alignment vertical="center"/>
    </xf>
    <xf numFmtId="0" fontId="13" fillId="0" borderId="6" xfId="0" quotePrefix="1" applyFont="1" applyFill="1" applyBorder="1" applyAlignment="1">
      <alignment vertical="center"/>
    </xf>
    <xf numFmtId="0" fontId="7" fillId="0" borderId="1" xfId="0" quotePrefix="1" applyFont="1" applyFill="1" applyBorder="1" applyAlignment="1">
      <alignment vertical="center"/>
    </xf>
    <xf numFmtId="0" fontId="13" fillId="0" borderId="1" xfId="0" quotePrefix="1" applyFont="1" applyFill="1" applyBorder="1" applyAlignment="1">
      <alignment vertical="center"/>
    </xf>
    <xf numFmtId="0" fontId="13" fillId="0" borderId="1" xfId="1" applyNumberFormat="1" applyFont="1" applyFill="1" applyBorder="1" applyAlignment="1">
      <alignment horizontal="center" vertical="center"/>
    </xf>
    <xf numFmtId="166" fontId="24" fillId="0" borderId="6" xfId="1" applyNumberFormat="1" applyFont="1" applyFill="1" applyBorder="1" applyAlignment="1">
      <alignment horizontal="left" vertical="center"/>
    </xf>
    <xf numFmtId="0" fontId="24" fillId="0" borderId="40" xfId="0" applyFont="1" applyFill="1" applyBorder="1" applyAlignment="1">
      <alignment vertical="center"/>
    </xf>
    <xf numFmtId="165" fontId="13" fillId="0" borderId="13" xfId="2" quotePrefix="1" applyNumberFormat="1" applyFont="1" applyFill="1" applyBorder="1" applyAlignment="1">
      <alignment vertical="center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24" fillId="0" borderId="40" xfId="0" quotePrefix="1" applyFont="1" applyFill="1" applyBorder="1" applyAlignment="1">
      <alignment vertical="center"/>
    </xf>
    <xf numFmtId="0" fontId="13" fillId="0" borderId="8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43" fontId="5" fillId="0" borderId="0" xfId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left" vertical="center"/>
    </xf>
    <xf numFmtId="0" fontId="42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0" fontId="9" fillId="0" borderId="41" xfId="0" applyFont="1" applyFill="1" applyBorder="1" applyAlignment="1">
      <alignment vertical="center"/>
    </xf>
    <xf numFmtId="0" fontId="43" fillId="0" borderId="41" xfId="0" applyFont="1" applyFill="1" applyBorder="1" applyAlignment="1">
      <alignment vertical="center"/>
    </xf>
    <xf numFmtId="0" fontId="5" fillId="0" borderId="41" xfId="0" applyFont="1" applyBorder="1" applyAlignment="1">
      <alignment vertical="center"/>
    </xf>
    <xf numFmtId="43" fontId="5" fillId="0" borderId="41" xfId="1" applyFont="1" applyBorder="1" applyAlignment="1">
      <alignment horizontal="center" vertical="center"/>
    </xf>
    <xf numFmtId="0" fontId="5" fillId="0" borderId="41" xfId="0" applyFont="1" applyFill="1" applyBorder="1" applyAlignment="1">
      <alignment vertical="center"/>
    </xf>
    <xf numFmtId="0" fontId="42" fillId="0" borderId="41" xfId="0" applyFont="1" applyBorder="1" applyAlignment="1">
      <alignment vertical="center"/>
    </xf>
    <xf numFmtId="0" fontId="9" fillId="0" borderId="41" xfId="0" applyFont="1" applyBorder="1" applyAlignment="1">
      <alignment horizontal="center" vertical="center"/>
    </xf>
    <xf numFmtId="164" fontId="9" fillId="17" borderId="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9" fillId="0" borderId="85" xfId="0" applyFont="1" applyBorder="1" applyAlignment="1">
      <alignment vertical="center"/>
    </xf>
    <xf numFmtId="169" fontId="43" fillId="0" borderId="1" xfId="0" quotePrefix="1" applyNumberFormat="1" applyFont="1" applyFill="1" applyBorder="1" applyAlignment="1">
      <alignment horizontal="center" vertical="center"/>
    </xf>
    <xf numFmtId="164" fontId="9" fillId="17" borderId="9" xfId="0" applyNumberFormat="1" applyFont="1" applyFill="1" applyBorder="1" applyAlignment="1">
      <alignment horizontal="center" vertical="center"/>
    </xf>
    <xf numFmtId="0" fontId="43" fillId="0" borderId="3" xfId="1" applyNumberFormat="1" applyFont="1" applyFill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0" fontId="42" fillId="0" borderId="68" xfId="0" applyFont="1" applyFill="1" applyBorder="1" applyAlignment="1">
      <alignment vertical="center"/>
    </xf>
    <xf numFmtId="169" fontId="43" fillId="0" borderId="3" xfId="0" quotePrefix="1" applyNumberFormat="1" applyFont="1" applyFill="1" applyBorder="1" applyAlignment="1">
      <alignment horizontal="center" vertical="center"/>
    </xf>
    <xf numFmtId="165" fontId="5" fillId="0" borderId="3" xfId="2" quotePrefix="1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9" fillId="0" borderId="96" xfId="2" quotePrefix="1" applyNumberFormat="1" applyFont="1" applyFill="1" applyBorder="1" applyAlignment="1">
      <alignment vertical="center"/>
    </xf>
    <xf numFmtId="164" fontId="5" fillId="0" borderId="0" xfId="1" applyNumberFormat="1" applyFont="1" applyAlignment="1"/>
    <xf numFmtId="165" fontId="53" fillId="0" borderId="0" xfId="0" applyNumberFormat="1" applyFont="1" applyAlignment="1"/>
    <xf numFmtId="9" fontId="54" fillId="0" borderId="0" xfId="5" applyFont="1" applyAlignment="1"/>
    <xf numFmtId="0" fontId="56" fillId="8" borderId="0" xfId="0" applyFont="1" applyFill="1" applyAlignment="1">
      <alignment horizontal="left" vertical="top"/>
    </xf>
    <xf numFmtId="0" fontId="57" fillId="8" borderId="0" xfId="0" applyFont="1" applyFill="1" applyAlignment="1">
      <alignment horizontal="left" vertical="top" wrapText="1" indent="1"/>
    </xf>
    <xf numFmtId="0" fontId="56" fillId="0" borderId="0" xfId="0" applyFont="1" applyFill="1" applyAlignment="1">
      <alignment horizontal="left" vertical="top"/>
    </xf>
    <xf numFmtId="0" fontId="57" fillId="0" borderId="0" xfId="0" applyFont="1" applyFill="1" applyAlignment="1">
      <alignment horizontal="left" vertical="top" wrapText="1" indent="1"/>
    </xf>
    <xf numFmtId="0" fontId="56" fillId="9" borderId="28" xfId="0" applyFont="1" applyFill="1" applyBorder="1" applyAlignment="1">
      <alignment horizontal="left" vertical="top"/>
    </xf>
    <xf numFmtId="0" fontId="57" fillId="9" borderId="29" xfId="0" applyFont="1" applyFill="1" applyBorder="1" applyAlignment="1">
      <alignment horizontal="left" vertical="top" wrapText="1" indent="1"/>
    </xf>
    <xf numFmtId="0" fontId="56" fillId="0" borderId="37" xfId="0" applyFont="1" applyBorder="1" applyAlignment="1">
      <alignment horizontal="center"/>
    </xf>
    <xf numFmtId="0" fontId="56" fillId="0" borderId="39" xfId="0" applyFont="1" applyBorder="1" applyAlignment="1">
      <alignment horizontal="center"/>
    </xf>
    <xf numFmtId="0" fontId="56" fillId="0" borderId="28" xfId="0" applyFont="1" applyBorder="1" applyAlignment="1">
      <alignment horizontal="center" vertical="top" wrapText="1"/>
    </xf>
    <xf numFmtId="0" fontId="56" fillId="0" borderId="31" xfId="0" applyFont="1" applyBorder="1" applyAlignment="1">
      <alignment horizontal="center" vertical="top" wrapText="1"/>
    </xf>
    <xf numFmtId="0" fontId="57" fillId="0" borderId="32" xfId="0" applyFont="1" applyBorder="1" applyAlignment="1">
      <alignment horizontal="left" vertical="top" wrapText="1"/>
    </xf>
    <xf numFmtId="0" fontId="56" fillId="0" borderId="34" xfId="0" applyFont="1" applyBorder="1" applyAlignment="1">
      <alignment horizontal="center" vertical="top" wrapText="1"/>
    </xf>
    <xf numFmtId="0" fontId="56" fillId="0" borderId="0" xfId="0" applyFont="1" applyBorder="1" applyAlignment="1">
      <alignment horizontal="center" vertical="top" wrapText="1"/>
    </xf>
    <xf numFmtId="0" fontId="57" fillId="0" borderId="0" xfId="0" applyFont="1" applyBorder="1" applyAlignment="1">
      <alignment horizontal="left" vertical="top" wrapText="1" indent="1"/>
    </xf>
    <xf numFmtId="0" fontId="56" fillId="0" borderId="0" xfId="0" applyFont="1" applyFill="1" applyBorder="1" applyAlignment="1">
      <alignment horizontal="center" vertical="top" wrapText="1"/>
    </xf>
    <xf numFmtId="0" fontId="56" fillId="0" borderId="0" xfId="0" applyFont="1" applyAlignment="1">
      <alignment horizontal="center" vertical="top" wrapText="1"/>
    </xf>
    <xf numFmtId="0" fontId="57" fillId="0" borderId="0" xfId="0" applyFont="1" applyAlignment="1">
      <alignment horizontal="left" vertical="top" wrapText="1" indent="1"/>
    </xf>
    <xf numFmtId="0" fontId="59" fillId="8" borderId="0" xfId="0" applyFont="1" applyFill="1" applyAlignment="1">
      <alignment horizontal="left" vertical="top" wrapText="1" indent="1"/>
    </xf>
    <xf numFmtId="0" fontId="59" fillId="8" borderId="0" xfId="0" applyFont="1" applyFill="1" applyAlignment="1">
      <alignment horizontal="left" vertical="top" wrapText="1"/>
    </xf>
    <xf numFmtId="0" fontId="59" fillId="0" borderId="0" xfId="0" applyFont="1" applyFill="1" applyAlignment="1">
      <alignment horizontal="left" vertical="top" wrapText="1" indent="1"/>
    </xf>
    <xf numFmtId="0" fontId="59" fillId="0" borderId="0" xfId="0" applyFont="1" applyFill="1" applyAlignment="1">
      <alignment horizontal="left" vertical="top" wrapText="1"/>
    </xf>
    <xf numFmtId="0" fontId="59" fillId="9" borderId="29" xfId="0" applyFont="1" applyFill="1" applyBorder="1" applyAlignment="1">
      <alignment horizontal="left" vertical="top" wrapText="1" indent="1"/>
    </xf>
    <xf numFmtId="0" fontId="59" fillId="9" borderId="29" xfId="0" applyFont="1" applyFill="1" applyBorder="1" applyAlignment="1">
      <alignment horizontal="left" vertical="top" wrapText="1"/>
    </xf>
    <xf numFmtId="0" fontId="58" fillId="0" borderId="39" xfId="0" applyFont="1" applyBorder="1" applyAlignment="1">
      <alignment horizontal="center"/>
    </xf>
    <xf numFmtId="0" fontId="59" fillId="0" borderId="29" xfId="0" applyFont="1" applyBorder="1" applyAlignment="1">
      <alignment horizontal="left" vertical="top" wrapText="1" indent="1"/>
    </xf>
    <xf numFmtId="0" fontId="59" fillId="0" borderId="29" xfId="0" applyFont="1" applyBorder="1" applyAlignment="1">
      <alignment horizontal="left" vertical="top" wrapText="1"/>
    </xf>
    <xf numFmtId="0" fontId="59" fillId="0" borderId="32" xfId="0" applyFont="1" applyBorder="1" applyAlignment="1">
      <alignment horizontal="left" vertical="top" wrapText="1" indent="1"/>
    </xf>
    <xf numFmtId="0" fontId="59" fillId="0" borderId="32" xfId="0" applyFont="1" applyBorder="1" applyAlignment="1">
      <alignment horizontal="left" vertical="top" wrapText="1"/>
    </xf>
    <xf numFmtId="0" fontId="59" fillId="0" borderId="35" xfId="0" applyFont="1" applyBorder="1" applyAlignment="1">
      <alignment horizontal="left" vertical="top" wrapText="1" indent="1"/>
    </xf>
    <xf numFmtId="0" fontId="59" fillId="0" borderId="35" xfId="0" applyFont="1" applyBorder="1" applyAlignment="1">
      <alignment horizontal="left" vertical="top" wrapText="1"/>
    </xf>
    <xf numFmtId="0" fontId="59" fillId="0" borderId="0" xfId="0" applyFont="1" applyBorder="1" applyAlignment="1">
      <alignment horizontal="left" vertical="top" wrapText="1" indent="1"/>
    </xf>
    <xf numFmtId="0" fontId="59" fillId="0" borderId="0" xfId="0" applyFont="1" applyBorder="1" applyAlignment="1">
      <alignment horizontal="left" vertical="top" wrapText="1"/>
    </xf>
    <xf numFmtId="0" fontId="59" fillId="0" borderId="0" xfId="0" applyFont="1" applyFill="1" applyBorder="1" applyAlignment="1">
      <alignment horizontal="left" vertical="top" wrapText="1" indent="1"/>
    </xf>
    <xf numFmtId="0" fontId="59" fillId="0" borderId="0" xfId="0" applyFont="1" applyFill="1" applyBorder="1" applyAlignment="1">
      <alignment horizontal="left" vertical="top" wrapText="1"/>
    </xf>
    <xf numFmtId="0" fontId="59" fillId="0" borderId="0" xfId="0" applyFont="1" applyAlignment="1">
      <alignment horizontal="left" vertical="top" wrapText="1" indent="1"/>
    </xf>
    <xf numFmtId="0" fontId="59" fillId="0" borderId="0" xfId="0" applyFont="1" applyAlignment="1">
      <alignment horizontal="left" vertical="top" wrapText="1"/>
    </xf>
    <xf numFmtId="165" fontId="57" fillId="8" borderId="0" xfId="2" applyNumberFormat="1" applyFont="1" applyFill="1" applyAlignment="1">
      <alignment vertical="top"/>
    </xf>
    <xf numFmtId="0" fontId="57" fillId="8" borderId="0" xfId="0" applyFont="1" applyFill="1" applyAlignment="1">
      <alignment horizontal="center" vertical="top" wrapText="1"/>
    </xf>
    <xf numFmtId="165" fontId="57" fillId="0" borderId="0" xfId="2" applyNumberFormat="1" applyFont="1" applyFill="1" applyAlignment="1">
      <alignment vertical="top"/>
    </xf>
    <xf numFmtId="0" fontId="57" fillId="0" borderId="0" xfId="0" applyFont="1" applyFill="1" applyAlignment="1">
      <alignment horizontal="center" vertical="top" wrapText="1"/>
    </xf>
    <xf numFmtId="165" fontId="57" fillId="9" borderId="29" xfId="2" applyNumberFormat="1" applyFont="1" applyFill="1" applyBorder="1" applyAlignment="1">
      <alignment vertical="top"/>
    </xf>
    <xf numFmtId="0" fontId="57" fillId="9" borderId="30" xfId="0" applyFont="1" applyFill="1" applyBorder="1" applyAlignment="1">
      <alignment horizontal="center" vertical="top" wrapText="1"/>
    </xf>
    <xf numFmtId="165" fontId="56" fillId="0" borderId="39" xfId="2" applyNumberFormat="1" applyFont="1" applyBorder="1" applyAlignment="1">
      <alignment horizontal="center"/>
    </xf>
    <xf numFmtId="0" fontId="56" fillId="0" borderId="38" xfId="0" applyFont="1" applyBorder="1" applyAlignment="1">
      <alignment horizontal="center"/>
    </xf>
    <xf numFmtId="166" fontId="57" fillId="0" borderId="29" xfId="1" applyNumberFormat="1" applyFont="1" applyBorder="1" applyAlignment="1">
      <alignment horizontal="left" vertical="top" wrapText="1" indent="1"/>
    </xf>
    <xf numFmtId="165" fontId="57" fillId="0" borderId="29" xfId="2" applyNumberFormat="1" applyFont="1" applyBorder="1" applyAlignment="1">
      <alignment vertical="top"/>
    </xf>
    <xf numFmtId="0" fontId="57" fillId="15" borderId="30" xfId="0" applyFont="1" applyFill="1" applyBorder="1" applyAlignment="1">
      <alignment horizontal="center" vertical="top" wrapText="1"/>
    </xf>
    <xf numFmtId="166" fontId="57" fillId="0" borderId="32" xfId="1" applyNumberFormat="1" applyFont="1" applyBorder="1" applyAlignment="1">
      <alignment horizontal="left" vertical="top" wrapText="1" indent="1"/>
    </xf>
    <xf numFmtId="165" fontId="57" fillId="0" borderId="32" xfId="2" applyNumberFormat="1" applyFont="1" applyBorder="1" applyAlignment="1">
      <alignment vertical="top"/>
    </xf>
    <xf numFmtId="0" fontId="57" fillId="15" borderId="33" xfId="0" applyFont="1" applyFill="1" applyBorder="1" applyAlignment="1">
      <alignment horizontal="center" vertical="top" wrapText="1"/>
    </xf>
    <xf numFmtId="0" fontId="57" fillId="0" borderId="33" xfId="0" applyFont="1" applyFill="1" applyBorder="1" applyAlignment="1">
      <alignment horizontal="center" vertical="top" wrapText="1"/>
    </xf>
    <xf numFmtId="0" fontId="57" fillId="13" borderId="33" xfId="0" applyFont="1" applyFill="1" applyBorder="1" applyAlignment="1">
      <alignment horizontal="center" vertical="top" wrapText="1"/>
    </xf>
    <xf numFmtId="0" fontId="57" fillId="14" borderId="33" xfId="0" applyFont="1" applyFill="1" applyBorder="1" applyAlignment="1">
      <alignment horizontal="center" vertical="top" wrapText="1"/>
    </xf>
    <xf numFmtId="166" fontId="57" fillId="0" borderId="35" xfId="1" applyNumberFormat="1" applyFont="1" applyBorder="1" applyAlignment="1">
      <alignment horizontal="left" vertical="top" wrapText="1" indent="1"/>
    </xf>
    <xf numFmtId="165" fontId="57" fillId="0" borderId="35" xfId="2" applyNumberFormat="1" applyFont="1" applyBorder="1" applyAlignment="1">
      <alignment vertical="top"/>
    </xf>
    <xf numFmtId="0" fontId="57" fillId="15" borderId="36" xfId="0" applyFont="1" applyFill="1" applyBorder="1" applyAlignment="1">
      <alignment horizontal="center" vertical="top" wrapText="1"/>
    </xf>
    <xf numFmtId="165" fontId="57" fillId="0" borderId="0" xfId="2" applyNumberFormat="1" applyFont="1" applyBorder="1" applyAlignment="1">
      <alignment vertical="top"/>
    </xf>
    <xf numFmtId="0" fontId="57" fillId="0" borderId="0" xfId="0" applyFont="1" applyBorder="1" applyAlignment="1">
      <alignment horizontal="center" vertical="top" wrapText="1"/>
    </xf>
    <xf numFmtId="0" fontId="57" fillId="0" borderId="29" xfId="0" quotePrefix="1" applyFont="1" applyBorder="1" applyAlignment="1">
      <alignment horizontal="center" vertical="top" wrapText="1"/>
    </xf>
    <xf numFmtId="165" fontId="57" fillId="0" borderId="29" xfId="2" quotePrefix="1" applyNumberFormat="1" applyFont="1" applyBorder="1" applyAlignment="1">
      <alignment horizontal="center" vertical="top"/>
    </xf>
    <xf numFmtId="0" fontId="57" fillId="0" borderId="32" xfId="0" quotePrefix="1" applyFont="1" applyBorder="1" applyAlignment="1">
      <alignment horizontal="center" vertical="top" wrapText="1"/>
    </xf>
    <xf numFmtId="165" fontId="57" fillId="0" borderId="32" xfId="2" quotePrefix="1" applyNumberFormat="1" applyFont="1" applyBorder="1" applyAlignment="1">
      <alignment horizontal="center" vertical="top"/>
    </xf>
    <xf numFmtId="0" fontId="57" fillId="0" borderId="35" xfId="0" quotePrefix="1" applyFont="1" applyBorder="1" applyAlignment="1">
      <alignment horizontal="center" vertical="top" wrapText="1"/>
    </xf>
    <xf numFmtId="165" fontId="57" fillId="0" borderId="35" xfId="2" quotePrefix="1" applyNumberFormat="1" applyFont="1" applyBorder="1" applyAlignment="1">
      <alignment horizontal="center" vertical="top"/>
    </xf>
    <xf numFmtId="0" fontId="57" fillId="0" borderId="0" xfId="0" quotePrefix="1" applyFont="1" applyFill="1" applyBorder="1" applyAlignment="1">
      <alignment horizontal="center" vertical="top" wrapText="1"/>
    </xf>
    <xf numFmtId="165" fontId="57" fillId="0" borderId="0" xfId="2" quotePrefix="1" applyNumberFormat="1" applyFont="1" applyFill="1" applyBorder="1" applyAlignment="1">
      <alignment horizontal="center" vertical="top"/>
    </xf>
    <xf numFmtId="0" fontId="57" fillId="0" borderId="0" xfId="0" applyFont="1" applyFill="1" applyBorder="1" applyAlignment="1">
      <alignment horizontal="center" vertical="top" wrapText="1"/>
    </xf>
    <xf numFmtId="165" fontId="57" fillId="0" borderId="29" xfId="2" applyNumberFormat="1" applyFont="1" applyBorder="1" applyAlignment="1">
      <alignment horizontal="center" vertical="top"/>
    </xf>
    <xf numFmtId="0" fontId="57" fillId="14" borderId="30" xfId="0" applyFont="1" applyFill="1" applyBorder="1" applyAlignment="1">
      <alignment horizontal="center" vertical="top" wrapText="1"/>
    </xf>
    <xf numFmtId="165" fontId="57" fillId="0" borderId="32" xfId="2" applyNumberFormat="1" applyFont="1" applyBorder="1" applyAlignment="1">
      <alignment horizontal="center" vertical="top"/>
    </xf>
    <xf numFmtId="0" fontId="57" fillId="16" borderId="33" xfId="0" applyFont="1" applyFill="1" applyBorder="1" applyAlignment="1">
      <alignment horizontal="center" vertical="top" wrapText="1"/>
    </xf>
    <xf numFmtId="165" fontId="57" fillId="0" borderId="35" xfId="2" applyNumberFormat="1" applyFont="1" applyBorder="1" applyAlignment="1">
      <alignment horizontal="center" vertical="top"/>
    </xf>
    <xf numFmtId="166" fontId="57" fillId="0" borderId="0" xfId="1" applyNumberFormat="1" applyFont="1" applyFill="1" applyBorder="1" applyAlignment="1">
      <alignment horizontal="left" vertical="top" wrapText="1" indent="1"/>
    </xf>
    <xf numFmtId="165" fontId="57" fillId="0" borderId="0" xfId="2" applyNumberFormat="1" applyFont="1" applyFill="1" applyBorder="1" applyAlignment="1">
      <alignment horizontal="center" vertical="top"/>
    </xf>
    <xf numFmtId="165" fontId="56" fillId="0" borderId="38" xfId="2" applyNumberFormat="1" applyFont="1" applyBorder="1" applyAlignment="1">
      <alignment horizontal="center"/>
    </xf>
    <xf numFmtId="166" fontId="57" fillId="0" borderId="29" xfId="1" applyNumberFormat="1" applyFont="1" applyBorder="1" applyAlignment="1">
      <alignment horizontal="center" vertical="top" wrapText="1"/>
    </xf>
    <xf numFmtId="0" fontId="57" fillId="10" borderId="30" xfId="0" applyFont="1" applyFill="1" applyBorder="1" applyAlignment="1">
      <alignment horizontal="center" vertical="top" wrapText="1"/>
    </xf>
    <xf numFmtId="166" fontId="57" fillId="0" borderId="32" xfId="1" applyNumberFormat="1" applyFont="1" applyBorder="1" applyAlignment="1">
      <alignment horizontal="center" vertical="top" wrapText="1"/>
    </xf>
    <xf numFmtId="0" fontId="57" fillId="11" borderId="33" xfId="0" applyFont="1" applyFill="1" applyBorder="1" applyAlignment="1">
      <alignment horizontal="center" vertical="top" wrapText="1"/>
    </xf>
    <xf numFmtId="0" fontId="57" fillId="10" borderId="33" xfId="0" applyFont="1" applyFill="1" applyBorder="1" applyAlignment="1">
      <alignment horizontal="center" vertical="top" wrapText="1"/>
    </xf>
    <xf numFmtId="0" fontId="57" fillId="3" borderId="33" xfId="0" applyFont="1" applyFill="1" applyBorder="1" applyAlignment="1">
      <alignment horizontal="center" vertical="top" wrapText="1"/>
    </xf>
    <xf numFmtId="166" fontId="57" fillId="0" borderId="35" xfId="1" applyNumberFormat="1" applyFont="1" applyBorder="1" applyAlignment="1">
      <alignment horizontal="center" vertical="top" wrapText="1"/>
    </xf>
    <xf numFmtId="165" fontId="57" fillId="0" borderId="0" xfId="2" applyNumberFormat="1" applyFont="1" applyAlignment="1">
      <alignment vertical="top"/>
    </xf>
    <xf numFmtId="0" fontId="57" fillId="0" borderId="0" xfId="0" applyFont="1" applyAlignment="1">
      <alignment horizontal="center" vertical="top" wrapText="1"/>
    </xf>
    <xf numFmtId="0" fontId="60" fillId="12" borderId="30" xfId="0" applyFont="1" applyFill="1" applyBorder="1" applyAlignment="1">
      <alignment horizontal="center" vertical="top" wrapText="1"/>
    </xf>
    <xf numFmtId="0" fontId="60" fillId="12" borderId="33" xfId="0" applyFont="1" applyFill="1" applyBorder="1" applyAlignment="1">
      <alignment horizontal="center" vertical="top" wrapText="1"/>
    </xf>
    <xf numFmtId="0" fontId="60" fillId="12" borderId="36" xfId="0" applyFont="1" applyFill="1" applyBorder="1" applyAlignment="1">
      <alignment horizontal="center" vertical="top" wrapText="1"/>
    </xf>
    <xf numFmtId="0" fontId="57" fillId="10" borderId="36" xfId="0" applyFont="1" applyFill="1" applyBorder="1" applyAlignment="1">
      <alignment horizontal="center" vertical="top" wrapText="1"/>
    </xf>
    <xf numFmtId="0" fontId="0" fillId="0" borderId="0" xfId="0" applyBorder="1"/>
    <xf numFmtId="164" fontId="5" fillId="0" borderId="0" xfId="1" applyNumberFormat="1" applyFont="1" applyBorder="1" applyAlignment="1"/>
    <xf numFmtId="164" fontId="9" fillId="0" borderId="0" xfId="1" applyNumberFormat="1" applyFont="1" applyBorder="1" applyAlignment="1"/>
    <xf numFmtId="164" fontId="5" fillId="0" borderId="0" xfId="0" applyNumberFormat="1" applyFont="1" applyBorder="1" applyAlignment="1"/>
    <xf numFmtId="9" fontId="5" fillId="0" borderId="0" xfId="5" applyFont="1" applyBorder="1" applyAlignment="1"/>
    <xf numFmtId="164" fontId="25" fillId="0" borderId="0" xfId="0" applyNumberFormat="1" applyFont="1" applyBorder="1"/>
    <xf numFmtId="164" fontId="7" fillId="0" borderId="0" xfId="1" applyNumberFormat="1" applyFont="1" applyBorder="1" applyAlignment="1"/>
    <xf numFmtId="164" fontId="55" fillId="0" borderId="0" xfId="1" applyNumberFormat="1" applyFont="1" applyBorder="1" applyAlignment="1"/>
    <xf numFmtId="165" fontId="5" fillId="0" borderId="0" xfId="0" applyNumberFormat="1" applyFont="1" applyBorder="1" applyAlignment="1"/>
    <xf numFmtId="0" fontId="9" fillId="0" borderId="0" xfId="0" applyFont="1" applyBorder="1" applyAlignment="1"/>
    <xf numFmtId="164" fontId="9" fillId="0" borderId="0" xfId="0" applyNumberFormat="1" applyFont="1" applyBorder="1" applyAlignment="1"/>
    <xf numFmtId="165" fontId="10" fillId="0" borderId="0" xfId="2" applyNumberFormat="1" applyFont="1" applyFill="1" applyBorder="1"/>
    <xf numFmtId="165" fontId="10" fillId="0" borderId="0" xfId="2" applyNumberFormat="1" applyFont="1" applyFill="1" applyBorder="1" applyAlignment="1">
      <alignment vertical="center"/>
    </xf>
  </cellXfs>
  <cellStyles count="7">
    <cellStyle name="Bad" xfId="6" builtinId="27" customBuiltin="1"/>
    <cellStyle name="Comma" xfId="1" builtinId="3"/>
    <cellStyle name="Currency" xfId="2" builtinId="4"/>
    <cellStyle name="Hyperlink" xfId="3" builtinId="8"/>
    <cellStyle name="Normal" xfId="0" builtinId="0"/>
    <cellStyle name="Normal 2" xfId="4" xr:uid="{8957477F-0AEB-4FA2-AF44-25346F49BF12}"/>
    <cellStyle name="Percent" xfId="5" builtinId="5"/>
  </cellStyles>
  <dxfs count="45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A365D1"/>
      <color rgb="FFFFE6CC"/>
      <color rgb="FF7DE0FF"/>
      <color rgb="FFFFA7F0"/>
      <color rgb="FFFF77E7"/>
      <color rgb="FF00C5FF"/>
      <color rgb="FFFF8181"/>
      <color rgb="FFA0FF71"/>
      <color rgb="FFFFD581"/>
      <color rgb="FFFFA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resohlavy, Timothy" id="{2E00EACF-7FE9-41F5-8ABE-D3F4B52B3254}" userId="S::Timothy.Tresohlavy@stantec.com::1df3d296-d86f-4300-b45f-7237012d9ad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4" dT="2021-10-27T16:08:44.32" personId="{2E00EACF-7FE9-41F5-8ABE-D3F4B52B3254}" id="{C99DDDF0-FE14-40AF-BF0D-F03E7B6CAD63}">
    <text>GIS: 3,160' (0.6 miles)</text>
  </threadedComment>
  <threadedComment ref="D9" dT="2021-10-26T19:27:38.32" personId="{2E00EACF-7FE9-41F5-8ABE-D3F4B52B3254}" id="{46424BB6-46DB-48EB-93B4-44AA62DEA6ED}">
    <text>Beechurst Avenue from University Ave to Campus Dr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32" dT="2021-10-27T17:22:09.15" personId="{2E00EACF-7FE9-41F5-8ABE-D3F4B52B3254}" id="{B372A028-7180-4F5D-B4CF-A4CE9D2D7AFF}">
    <text>AKA: STAR CITY I/C IMPROVEMENTS (GO BOND 3)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J1" dT="2022-02-01T14:43:14.43" personId="{2E00EACF-7FE9-41F5-8ABE-D3F4B52B3254}" id="{472A1EF8-FE99-4B58-A7DF-DCDEEF6C476F}">
    <text>US Inflation Calculator - BLS https://www.bls.gov/data/inflation_calculator.htm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O1" dT="2022-02-01T14:43:14.43" personId="{2E00EACF-7FE9-41F5-8ABE-D3F4B52B3254}" id="{4A1902D5-1B04-4234-B91C-5FC94809E5A1}">
    <text>US Inflation Calculator - BLS https://www.bls.gov/data/inflation_calculator.htm</text>
  </threadedComment>
  <threadedComment ref="N12" dT="2022-02-12T18:05:03.75" personId="{2E00EACF-7FE9-41F5-8ABE-D3F4B52B3254}" id="{2228C6A5-525F-4F37-B021-0D4A3061405A}">
    <text>Feels low for nearly 10 miles of improvements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F13" dT="2022-01-21T20:04:38.00" personId="{2E00EACF-7FE9-41F5-8ABE-D3F4B52B3254}" id="{358CBF41-A6B9-48D1-B12F-AD3E1A227968}">
    <text>Interstates only - won't work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G5" dT="2021-10-27T16:08:44.32" personId="{2E00EACF-7FE9-41F5-8ABE-D3F4B52B3254}" id="{916D2E0B-7DF8-4CDA-85F5-AEC9000FB916}">
    <text>GIS: 3,160' (0.6 miles)</text>
  </threadedComment>
  <threadedComment ref="B17" dT="2021-10-26T19:27:38.32" personId="{2E00EACF-7FE9-41F5-8ABE-D3F4B52B3254}" id="{2FD1F2DC-CB6E-4653-A24F-3C4F5991E339}">
    <text>Beechurst Avenue from University Ave to Campus Dr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X4" dT="2022-03-25T20:28:54.67" personId="{2E00EACF-7FE9-41F5-8ABE-D3F4B52B3254}" id="{E90CA1D1-6A65-4116-8D66-252E0FF3D033}">
    <text>TIF assumptions added to Tier 1</text>
  </threadedComment>
  <threadedComment ref="R21" dT="2022-03-24T13:37:54.26" personId="{2E00EACF-7FE9-41F5-8ABE-D3F4B52B3254}" id="{D1C1D6CE-7FEE-4E88-B79A-5A7181C9C33F}">
    <text>5-year payback period. TIF pays back WVDOH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transportation.wv.gov/highways/engineering/comment/closed/VanVoorhisRoadProject/Pages/default.aspx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transportation.wv.gov/highways/engineering/comment/closed/UniversityAvenueProject/Pages/default.aspx" TargetMode="External"/><Relationship Id="rId1" Type="http://schemas.openxmlformats.org/officeDocument/2006/relationships/hyperlink" Target="https://transportation.wv.gov/highways/engineering/comment/closed/Pages/default.asp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transportation.wv.gov/highways/engineering/comment/closed/WestRunRoadProject/Pages/default.aspx" TargetMode="External"/><Relationship Id="rId4" Type="http://schemas.openxmlformats.org/officeDocument/2006/relationships/hyperlink" Target="https://transportation.wv.gov/highways/engineering/comment/closed/greenbagroadimprovementproject/Pages/default.aspx" TargetMode="External"/><Relationship Id="rId9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364C7-BF04-425D-92C3-59899F9A7736}">
  <sheetPr>
    <tabColor theme="5" tint="0.59999389629810485"/>
  </sheetPr>
  <dimension ref="A1:W56"/>
  <sheetViews>
    <sheetView workbookViewId="0"/>
  </sheetViews>
  <sheetFormatPr defaultColWidth="9.109375" defaultRowHeight="13.8" x14ac:dyDescent="0.3"/>
  <cols>
    <col min="1" max="2" width="6.88671875" style="30" customWidth="1"/>
    <col min="3" max="3" width="5.33203125" style="144" customWidth="1"/>
    <col min="4" max="4" width="27.88671875" style="30" customWidth="1"/>
    <col min="5" max="5" width="8.33203125" style="30" bestFit="1" customWidth="1"/>
    <col min="6" max="6" width="16.6640625" style="30" bestFit="1" customWidth="1"/>
    <col min="7" max="7" width="15.88671875" style="30" bestFit="1" customWidth="1"/>
    <col min="8" max="8" width="11.33203125" style="30" hidden="1" customWidth="1"/>
    <col min="9" max="9" width="7.6640625" style="34" customWidth="1"/>
    <col min="10" max="10" width="9.6640625" style="30" hidden="1" customWidth="1"/>
    <col min="11" max="11" width="6.33203125" style="30" customWidth="1"/>
    <col min="12" max="12" width="11.44140625" style="30" hidden="1" customWidth="1"/>
    <col min="13" max="13" width="12.5546875" style="29" customWidth="1"/>
    <col min="14" max="14" width="6" style="30" customWidth="1"/>
    <col min="15" max="15" width="8.88671875" style="121" bestFit="1" customWidth="1"/>
    <col min="16" max="17" width="11" style="121" bestFit="1" customWidth="1"/>
    <col min="18" max="18" width="29.33203125" style="177" customWidth="1"/>
    <col min="19" max="20" width="7" style="372" customWidth="1"/>
    <col min="21" max="21" width="14" style="175" bestFit="1" customWidth="1"/>
    <col min="22" max="22" width="5.88671875" style="175" customWidth="1"/>
    <col min="23" max="23" width="14.6640625" style="176" bestFit="1" customWidth="1"/>
    <col min="24" max="16384" width="9.109375" style="30"/>
  </cols>
  <sheetData>
    <row r="1" spans="1:23" s="203" customFormat="1" ht="27.6" x14ac:dyDescent="0.3">
      <c r="A1" s="165" t="s">
        <v>0</v>
      </c>
      <c r="B1" s="165" t="s">
        <v>1</v>
      </c>
      <c r="C1" s="166" t="s">
        <v>739</v>
      </c>
      <c r="D1" s="165" t="s">
        <v>2</v>
      </c>
      <c r="E1" s="165" t="s">
        <v>10</v>
      </c>
      <c r="F1" s="202" t="s">
        <v>3</v>
      </c>
      <c r="G1" s="202" t="s">
        <v>4</v>
      </c>
      <c r="H1" s="166" t="s">
        <v>16</v>
      </c>
      <c r="I1" s="166" t="s">
        <v>5</v>
      </c>
      <c r="J1" s="165" t="s">
        <v>6</v>
      </c>
      <c r="K1" s="165" t="s">
        <v>7</v>
      </c>
      <c r="L1" s="165" t="s">
        <v>8</v>
      </c>
      <c r="M1" s="165" t="s">
        <v>9</v>
      </c>
      <c r="N1" s="165" t="s">
        <v>12</v>
      </c>
      <c r="O1" s="164" t="s">
        <v>13</v>
      </c>
      <c r="P1" s="164" t="s">
        <v>14</v>
      </c>
      <c r="Q1" s="164" t="s">
        <v>616</v>
      </c>
      <c r="R1" s="165" t="s">
        <v>15</v>
      </c>
      <c r="S1" s="198" t="s">
        <v>739</v>
      </c>
      <c r="T1" s="395" t="s">
        <v>825</v>
      </c>
      <c r="U1" s="199" t="s">
        <v>22</v>
      </c>
      <c r="V1" s="200" t="s">
        <v>23</v>
      </c>
      <c r="W1" s="201" t="s">
        <v>363</v>
      </c>
    </row>
    <row r="2" spans="1:23" s="162" customFormat="1" x14ac:dyDescent="0.3">
      <c r="A2" s="163" t="s">
        <v>377</v>
      </c>
      <c r="B2" s="163" t="s">
        <v>378</v>
      </c>
      <c r="C2" s="373">
        <f>S2</f>
        <v>4</v>
      </c>
      <c r="D2" s="163" t="s">
        <v>379</v>
      </c>
      <c r="E2" s="163" t="s">
        <v>380</v>
      </c>
      <c r="F2" s="163" t="s">
        <v>644</v>
      </c>
      <c r="G2" s="163" t="s">
        <v>645</v>
      </c>
      <c r="H2" s="183">
        <v>44770</v>
      </c>
      <c r="I2" s="178">
        <v>2022</v>
      </c>
      <c r="J2" s="163" t="s">
        <v>28</v>
      </c>
      <c r="K2" s="179" t="s">
        <v>29</v>
      </c>
      <c r="L2" s="180">
        <v>1450000</v>
      </c>
      <c r="M2" s="204">
        <v>1450000</v>
      </c>
      <c r="N2" s="181">
        <v>2.9</v>
      </c>
      <c r="O2" s="182" t="s">
        <v>31</v>
      </c>
      <c r="P2" s="182" t="s">
        <v>232</v>
      </c>
      <c r="Q2" s="182" t="s">
        <v>232</v>
      </c>
      <c r="R2" s="179" t="s">
        <v>266</v>
      </c>
      <c r="S2" s="364">
        <v>4</v>
      </c>
      <c r="T2" s="396" t="s">
        <v>826</v>
      </c>
      <c r="U2" s="288" t="s">
        <v>376</v>
      </c>
      <c r="V2" s="184" t="s">
        <v>37</v>
      </c>
      <c r="W2" s="184" t="s">
        <v>364</v>
      </c>
    </row>
    <row r="3" spans="1:23" s="162" customFormat="1" x14ac:dyDescent="0.3">
      <c r="A3" s="163" t="s">
        <v>323</v>
      </c>
      <c r="B3" s="163" t="s">
        <v>381</v>
      </c>
      <c r="C3" s="373">
        <f t="shared" ref="C3:C30" si="0">S3</f>
        <v>5</v>
      </c>
      <c r="D3" s="163" t="s">
        <v>382</v>
      </c>
      <c r="E3" s="163" t="s">
        <v>115</v>
      </c>
      <c r="F3" s="163" t="s">
        <v>794</v>
      </c>
      <c r="G3" s="163" t="s">
        <v>795</v>
      </c>
      <c r="H3" s="183">
        <v>44862</v>
      </c>
      <c r="I3" s="178">
        <v>2023</v>
      </c>
      <c r="J3" s="163" t="s">
        <v>366</v>
      </c>
      <c r="K3" s="179" t="s">
        <v>29</v>
      </c>
      <c r="L3" s="180">
        <v>640000</v>
      </c>
      <c r="M3" s="204">
        <v>800000</v>
      </c>
      <c r="N3" s="181">
        <v>1.6</v>
      </c>
      <c r="O3" s="182" t="s">
        <v>31</v>
      </c>
      <c r="P3" s="182" t="s">
        <v>232</v>
      </c>
      <c r="Q3" s="182" t="s">
        <v>232</v>
      </c>
      <c r="R3" s="179" t="s">
        <v>266</v>
      </c>
      <c r="S3" s="364">
        <v>5</v>
      </c>
      <c r="T3" s="396" t="s">
        <v>827</v>
      </c>
      <c r="U3" s="185" t="s">
        <v>791</v>
      </c>
      <c r="V3" s="184" t="s">
        <v>37</v>
      </c>
      <c r="W3" s="184" t="s">
        <v>364</v>
      </c>
    </row>
    <row r="4" spans="1:23" s="162" customFormat="1" x14ac:dyDescent="0.3">
      <c r="A4" s="163" t="s">
        <v>322</v>
      </c>
      <c r="B4" s="163" t="s">
        <v>383</v>
      </c>
      <c r="C4" s="373">
        <f t="shared" si="0"/>
        <v>6</v>
      </c>
      <c r="D4" s="163" t="s">
        <v>384</v>
      </c>
      <c r="E4" s="163" t="s">
        <v>385</v>
      </c>
      <c r="F4" s="163" t="s">
        <v>618</v>
      </c>
      <c r="G4" s="163" t="s">
        <v>536</v>
      </c>
      <c r="H4" s="183">
        <v>44862</v>
      </c>
      <c r="I4" s="178">
        <v>2023</v>
      </c>
      <c r="J4" s="163" t="s">
        <v>366</v>
      </c>
      <c r="K4" s="179" t="s">
        <v>29</v>
      </c>
      <c r="L4" s="180">
        <v>211200</v>
      </c>
      <c r="M4" s="204">
        <v>264000</v>
      </c>
      <c r="N4" s="186">
        <v>0.44</v>
      </c>
      <c r="O4" s="182" t="s">
        <v>31</v>
      </c>
      <c r="P4" s="182" t="s">
        <v>232</v>
      </c>
      <c r="Q4" s="182" t="s">
        <v>232</v>
      </c>
      <c r="R4" s="179" t="s">
        <v>266</v>
      </c>
      <c r="S4" s="364">
        <v>6</v>
      </c>
      <c r="T4" s="396" t="s">
        <v>828</v>
      </c>
      <c r="U4" s="185" t="s">
        <v>792</v>
      </c>
      <c r="V4" s="184" t="s">
        <v>37</v>
      </c>
      <c r="W4" s="184" t="s">
        <v>364</v>
      </c>
    </row>
    <row r="5" spans="1:23" s="162" customFormat="1" ht="14.25" customHeight="1" x14ac:dyDescent="0.3">
      <c r="A5" s="163" t="s">
        <v>324</v>
      </c>
      <c r="B5" s="163" t="s">
        <v>386</v>
      </c>
      <c r="C5" s="373">
        <f t="shared" si="0"/>
        <v>8</v>
      </c>
      <c r="D5" s="163" t="s">
        <v>387</v>
      </c>
      <c r="E5" s="163" t="s">
        <v>746</v>
      </c>
      <c r="F5" s="163" t="s">
        <v>803</v>
      </c>
      <c r="G5" s="205" t="s">
        <v>376</v>
      </c>
      <c r="H5" s="183">
        <v>45288</v>
      </c>
      <c r="I5" s="178">
        <v>2024</v>
      </c>
      <c r="J5" s="163" t="s">
        <v>28</v>
      </c>
      <c r="K5" s="179" t="s">
        <v>29</v>
      </c>
      <c r="L5" s="180">
        <v>704000</v>
      </c>
      <c r="M5" s="204">
        <v>880000</v>
      </c>
      <c r="N5" s="181">
        <v>0.9</v>
      </c>
      <c r="O5" s="182" t="s">
        <v>31</v>
      </c>
      <c r="P5" s="182" t="s">
        <v>232</v>
      </c>
      <c r="Q5" s="182" t="s">
        <v>232</v>
      </c>
      <c r="R5" s="179" t="s">
        <v>266</v>
      </c>
      <c r="S5" s="364">
        <v>8</v>
      </c>
      <c r="T5" s="396" t="s">
        <v>829</v>
      </c>
      <c r="U5" s="333" t="s">
        <v>376</v>
      </c>
      <c r="V5" s="184" t="s">
        <v>197</v>
      </c>
      <c r="W5" s="184" t="s">
        <v>364</v>
      </c>
    </row>
    <row r="6" spans="1:23" s="162" customFormat="1" x14ac:dyDescent="0.3">
      <c r="A6" s="163" t="s">
        <v>388</v>
      </c>
      <c r="B6" s="163" t="s">
        <v>389</v>
      </c>
      <c r="C6" s="373">
        <f t="shared" si="0"/>
        <v>10</v>
      </c>
      <c r="D6" s="167" t="s">
        <v>793</v>
      </c>
      <c r="E6" s="163" t="s">
        <v>746</v>
      </c>
      <c r="F6" s="163" t="s">
        <v>796</v>
      </c>
      <c r="G6" s="163" t="s">
        <v>797</v>
      </c>
      <c r="H6" s="183">
        <v>44558</v>
      </c>
      <c r="I6" s="178">
        <v>2022</v>
      </c>
      <c r="J6" s="163" t="s">
        <v>28</v>
      </c>
      <c r="K6" s="179" t="s">
        <v>29</v>
      </c>
      <c r="L6" s="180">
        <v>5800000</v>
      </c>
      <c r="M6" s="204">
        <v>5800000</v>
      </c>
      <c r="N6" s="186">
        <v>5.04</v>
      </c>
      <c r="O6" s="182" t="s">
        <v>31</v>
      </c>
      <c r="P6" s="182" t="s">
        <v>232</v>
      </c>
      <c r="Q6" s="182" t="s">
        <v>232</v>
      </c>
      <c r="R6" s="179" t="s">
        <v>266</v>
      </c>
      <c r="S6" s="364">
        <v>10</v>
      </c>
      <c r="T6" s="396" t="s">
        <v>830</v>
      </c>
      <c r="U6" s="288" t="s">
        <v>376</v>
      </c>
      <c r="V6" s="184" t="s">
        <v>37</v>
      </c>
      <c r="W6" s="184" t="s">
        <v>364</v>
      </c>
    </row>
    <row r="7" spans="1:23" s="162" customFormat="1" x14ac:dyDescent="0.3">
      <c r="A7" s="163" t="s">
        <v>171</v>
      </c>
      <c r="B7" s="163" t="s">
        <v>172</v>
      </c>
      <c r="C7" s="373">
        <f t="shared" si="0"/>
        <v>11</v>
      </c>
      <c r="D7" s="163" t="s">
        <v>390</v>
      </c>
      <c r="E7" s="163" t="s">
        <v>747</v>
      </c>
      <c r="F7" s="163" t="s">
        <v>798</v>
      </c>
      <c r="G7" s="205" t="s">
        <v>376</v>
      </c>
      <c r="H7" s="183">
        <v>44589</v>
      </c>
      <c r="I7" s="178">
        <v>2022</v>
      </c>
      <c r="J7" s="163" t="s">
        <v>391</v>
      </c>
      <c r="K7" s="179" t="s">
        <v>29</v>
      </c>
      <c r="L7" s="180">
        <v>0</v>
      </c>
      <c r="M7" s="204">
        <v>2100000</v>
      </c>
      <c r="N7" s="186">
        <v>0.02</v>
      </c>
      <c r="O7" s="182" t="s">
        <v>31</v>
      </c>
      <c r="P7" s="182" t="s">
        <v>32</v>
      </c>
      <c r="Q7" s="182" t="s">
        <v>232</v>
      </c>
      <c r="R7" s="179" t="s">
        <v>33</v>
      </c>
      <c r="S7" s="364">
        <v>11</v>
      </c>
      <c r="T7" s="396" t="s">
        <v>837</v>
      </c>
      <c r="U7" s="185" t="s">
        <v>173</v>
      </c>
      <c r="V7" s="184" t="s">
        <v>37</v>
      </c>
      <c r="W7" s="184" t="s">
        <v>364</v>
      </c>
    </row>
    <row r="8" spans="1:23" s="162" customFormat="1" x14ac:dyDescent="0.3">
      <c r="A8" s="163"/>
      <c r="B8" s="163" t="s">
        <v>392</v>
      </c>
      <c r="C8" s="373">
        <f t="shared" si="0"/>
        <v>12</v>
      </c>
      <c r="D8" s="163" t="s">
        <v>393</v>
      </c>
      <c r="E8" s="163" t="s">
        <v>411</v>
      </c>
      <c r="F8" s="163" t="s">
        <v>804</v>
      </c>
      <c r="G8" s="205" t="s">
        <v>376</v>
      </c>
      <c r="H8" s="183">
        <v>44497</v>
      </c>
      <c r="I8" s="178">
        <v>2022</v>
      </c>
      <c r="J8" s="163" t="s">
        <v>28</v>
      </c>
      <c r="K8" s="179" t="s">
        <v>29</v>
      </c>
      <c r="L8" s="180">
        <v>585000</v>
      </c>
      <c r="M8" s="204">
        <v>650000</v>
      </c>
      <c r="N8" s="186">
        <v>0.67</v>
      </c>
      <c r="O8" s="182" t="s">
        <v>31</v>
      </c>
      <c r="P8" s="182" t="s">
        <v>232</v>
      </c>
      <c r="Q8" s="182" t="s">
        <v>232</v>
      </c>
      <c r="R8" s="179" t="s">
        <v>266</v>
      </c>
      <c r="S8" s="364">
        <v>12</v>
      </c>
      <c r="T8" s="396" t="s">
        <v>835</v>
      </c>
      <c r="U8" s="288" t="s">
        <v>376</v>
      </c>
      <c r="V8" s="184" t="s">
        <v>197</v>
      </c>
      <c r="W8" s="184" t="s">
        <v>364</v>
      </c>
    </row>
    <row r="9" spans="1:23" s="162" customFormat="1" x14ac:dyDescent="0.3">
      <c r="A9" s="163" t="s">
        <v>325</v>
      </c>
      <c r="B9" s="163" t="s">
        <v>394</v>
      </c>
      <c r="C9" s="373">
        <f t="shared" si="0"/>
        <v>13</v>
      </c>
      <c r="D9" s="163" t="s">
        <v>395</v>
      </c>
      <c r="E9" s="163" t="s">
        <v>411</v>
      </c>
      <c r="F9" s="163" t="s">
        <v>805</v>
      </c>
      <c r="G9" s="205" t="s">
        <v>376</v>
      </c>
      <c r="H9" s="183">
        <v>44497</v>
      </c>
      <c r="I9" s="178">
        <v>2022</v>
      </c>
      <c r="J9" s="163" t="s">
        <v>28</v>
      </c>
      <c r="K9" s="179" t="s">
        <v>29</v>
      </c>
      <c r="L9" s="180">
        <v>675000</v>
      </c>
      <c r="M9" s="204">
        <v>750000</v>
      </c>
      <c r="N9" s="181">
        <v>0.1</v>
      </c>
      <c r="O9" s="182" t="s">
        <v>31</v>
      </c>
      <c r="P9" s="182" t="s">
        <v>232</v>
      </c>
      <c r="Q9" s="182" t="s">
        <v>232</v>
      </c>
      <c r="R9" s="179" t="s">
        <v>266</v>
      </c>
      <c r="S9" s="364">
        <v>13</v>
      </c>
      <c r="T9" s="396" t="s">
        <v>831</v>
      </c>
      <c r="U9" s="288" t="s">
        <v>376</v>
      </c>
      <c r="V9" s="184" t="s">
        <v>197</v>
      </c>
      <c r="W9" s="184" t="s">
        <v>364</v>
      </c>
    </row>
    <row r="10" spans="1:23" s="162" customFormat="1" x14ac:dyDescent="0.3">
      <c r="A10" s="163" t="s">
        <v>327</v>
      </c>
      <c r="B10" s="163" t="s">
        <v>398</v>
      </c>
      <c r="C10" s="373">
        <f t="shared" si="0"/>
        <v>16</v>
      </c>
      <c r="D10" s="163" t="s">
        <v>399</v>
      </c>
      <c r="E10" s="163" t="s">
        <v>166</v>
      </c>
      <c r="F10" s="163" t="s">
        <v>799</v>
      </c>
      <c r="G10" s="205" t="s">
        <v>376</v>
      </c>
      <c r="H10" s="183">
        <v>44770</v>
      </c>
      <c r="I10" s="178">
        <v>2022</v>
      </c>
      <c r="J10" s="163" t="s">
        <v>366</v>
      </c>
      <c r="K10" s="179" t="s">
        <v>29</v>
      </c>
      <c r="L10" s="180">
        <v>6000000</v>
      </c>
      <c r="M10" s="204">
        <v>6000000</v>
      </c>
      <c r="N10" s="186">
        <v>0.67</v>
      </c>
      <c r="O10" s="182" t="s">
        <v>31</v>
      </c>
      <c r="P10" s="182" t="s">
        <v>232</v>
      </c>
      <c r="Q10" s="182" t="s">
        <v>232</v>
      </c>
      <c r="R10" s="179" t="s">
        <v>504</v>
      </c>
      <c r="S10" s="364">
        <v>16</v>
      </c>
      <c r="T10" s="396" t="s">
        <v>832</v>
      </c>
      <c r="U10" s="185" t="s">
        <v>328</v>
      </c>
      <c r="V10" s="184" t="s">
        <v>37</v>
      </c>
      <c r="W10" s="184" t="s">
        <v>364</v>
      </c>
    </row>
    <row r="11" spans="1:23" s="162" customFormat="1" x14ac:dyDescent="0.3">
      <c r="A11" s="163" t="s">
        <v>400</v>
      </c>
      <c r="B11" s="163" t="s">
        <v>398</v>
      </c>
      <c r="C11" s="373">
        <f t="shared" si="0"/>
        <v>16</v>
      </c>
      <c r="D11" s="163" t="s">
        <v>399</v>
      </c>
      <c r="E11" s="163" t="s">
        <v>166</v>
      </c>
      <c r="F11" s="163" t="s">
        <v>799</v>
      </c>
      <c r="G11" s="205" t="s">
        <v>376</v>
      </c>
      <c r="H11" s="183">
        <v>44497</v>
      </c>
      <c r="I11" s="178">
        <v>2022</v>
      </c>
      <c r="J11" s="163" t="s">
        <v>88</v>
      </c>
      <c r="K11" s="179" t="s">
        <v>114</v>
      </c>
      <c r="L11" s="180">
        <v>1475000</v>
      </c>
      <c r="M11" s="204">
        <v>1475000</v>
      </c>
      <c r="N11" s="186">
        <v>0.67</v>
      </c>
      <c r="O11" s="182" t="s">
        <v>31</v>
      </c>
      <c r="P11" s="182" t="s">
        <v>232</v>
      </c>
      <c r="Q11" s="182" t="s">
        <v>232</v>
      </c>
      <c r="R11" s="179" t="s">
        <v>504</v>
      </c>
      <c r="S11" s="364">
        <v>16</v>
      </c>
      <c r="T11" s="396" t="s">
        <v>832</v>
      </c>
      <c r="U11" s="185" t="s">
        <v>328</v>
      </c>
      <c r="V11" s="184" t="s">
        <v>37</v>
      </c>
      <c r="W11" s="184" t="s">
        <v>364</v>
      </c>
    </row>
    <row r="12" spans="1:23" s="162" customFormat="1" ht="27.6" x14ac:dyDescent="0.3">
      <c r="A12" s="163" t="s">
        <v>367</v>
      </c>
      <c r="B12" s="163" t="s">
        <v>368</v>
      </c>
      <c r="C12" s="373">
        <f t="shared" si="0"/>
        <v>25</v>
      </c>
      <c r="D12" s="163" t="s">
        <v>806</v>
      </c>
      <c r="E12" s="163" t="s">
        <v>166</v>
      </c>
      <c r="F12" s="163" t="s">
        <v>807</v>
      </c>
      <c r="G12" s="163" t="s">
        <v>748</v>
      </c>
      <c r="H12" s="183">
        <v>44528</v>
      </c>
      <c r="I12" s="178">
        <v>2022</v>
      </c>
      <c r="J12" s="163" t="s">
        <v>366</v>
      </c>
      <c r="K12" s="179" t="s">
        <v>29</v>
      </c>
      <c r="L12" s="180">
        <v>500000</v>
      </c>
      <c r="M12" s="204">
        <v>500000</v>
      </c>
      <c r="N12" s="186">
        <v>0.01</v>
      </c>
      <c r="O12" s="182" t="s">
        <v>31</v>
      </c>
      <c r="P12" s="182" t="s">
        <v>32</v>
      </c>
      <c r="Q12" s="182" t="s">
        <v>232</v>
      </c>
      <c r="R12" s="179" t="s">
        <v>33</v>
      </c>
      <c r="S12" s="364">
        <v>25</v>
      </c>
      <c r="T12" s="396" t="s">
        <v>838</v>
      </c>
      <c r="U12" s="185" t="s">
        <v>167</v>
      </c>
      <c r="V12" s="187" t="s">
        <v>579</v>
      </c>
      <c r="W12" s="184" t="s">
        <v>364</v>
      </c>
    </row>
    <row r="13" spans="1:23" s="162" customFormat="1" x14ac:dyDescent="0.3">
      <c r="A13" s="163" t="s">
        <v>321</v>
      </c>
      <c r="B13" s="163" t="s">
        <v>421</v>
      </c>
      <c r="C13" s="373">
        <f t="shared" si="0"/>
        <v>29</v>
      </c>
      <c r="D13" s="163" t="s">
        <v>422</v>
      </c>
      <c r="E13" s="163" t="s">
        <v>380</v>
      </c>
      <c r="F13" s="163" t="s">
        <v>801</v>
      </c>
      <c r="G13" s="163" t="s">
        <v>802</v>
      </c>
      <c r="H13" s="183">
        <v>45013</v>
      </c>
      <c r="I13" s="178">
        <v>2023</v>
      </c>
      <c r="J13" s="163" t="s">
        <v>366</v>
      </c>
      <c r="K13" s="179" t="s">
        <v>29</v>
      </c>
      <c r="L13" s="180">
        <v>500000</v>
      </c>
      <c r="M13" s="204">
        <v>625000</v>
      </c>
      <c r="N13" s="186">
        <v>1.25</v>
      </c>
      <c r="O13" s="182" t="s">
        <v>31</v>
      </c>
      <c r="P13" s="182" t="s">
        <v>232</v>
      </c>
      <c r="Q13" s="182" t="s">
        <v>232</v>
      </c>
      <c r="R13" s="179" t="s">
        <v>266</v>
      </c>
      <c r="S13" s="364">
        <v>29</v>
      </c>
      <c r="T13" s="396" t="s">
        <v>836</v>
      </c>
      <c r="U13" s="288" t="s">
        <v>376</v>
      </c>
      <c r="V13" s="184" t="s">
        <v>37</v>
      </c>
      <c r="W13" s="184" t="s">
        <v>364</v>
      </c>
    </row>
    <row r="14" spans="1:23" s="162" customFormat="1" x14ac:dyDescent="0.3">
      <c r="A14" s="163" t="s">
        <v>401</v>
      </c>
      <c r="B14" s="163" t="s">
        <v>402</v>
      </c>
      <c r="C14" s="373" t="str">
        <f t="shared" si="0"/>
        <v>--</v>
      </c>
      <c r="D14" s="163" t="s">
        <v>164</v>
      </c>
      <c r="E14" s="205" t="s">
        <v>376</v>
      </c>
      <c r="F14" s="163"/>
      <c r="G14" s="163"/>
      <c r="H14" s="183">
        <v>44497</v>
      </c>
      <c r="I14" s="178">
        <v>2022</v>
      </c>
      <c r="J14" s="163" t="s">
        <v>55</v>
      </c>
      <c r="K14" s="179" t="s">
        <v>46</v>
      </c>
      <c r="L14" s="180">
        <v>12000</v>
      </c>
      <c r="M14" s="204">
        <v>15000</v>
      </c>
      <c r="N14" s="191">
        <v>0</v>
      </c>
      <c r="O14" s="182" t="s">
        <v>57</v>
      </c>
      <c r="P14" s="182" t="s">
        <v>81</v>
      </c>
      <c r="Q14" s="182" t="s">
        <v>232</v>
      </c>
      <c r="R14" s="179" t="s">
        <v>165</v>
      </c>
      <c r="S14" s="363" t="s">
        <v>376</v>
      </c>
      <c r="T14" s="397"/>
      <c r="U14" s="288" t="s">
        <v>376</v>
      </c>
      <c r="V14" s="238" t="s">
        <v>376</v>
      </c>
      <c r="W14" s="184" t="s">
        <v>364</v>
      </c>
    </row>
    <row r="15" spans="1:23" s="162" customFormat="1" x14ac:dyDescent="0.3">
      <c r="A15" s="163" t="s">
        <v>162</v>
      </c>
      <c r="B15" s="163" t="s">
        <v>163</v>
      </c>
      <c r="C15" s="373" t="str">
        <f t="shared" si="0"/>
        <v>--</v>
      </c>
      <c r="D15" s="163" t="s">
        <v>164</v>
      </c>
      <c r="E15" s="205" t="s">
        <v>376</v>
      </c>
      <c r="F15" s="163"/>
      <c r="G15" s="163"/>
      <c r="H15" s="183">
        <v>44558</v>
      </c>
      <c r="I15" s="178">
        <v>2022</v>
      </c>
      <c r="J15" s="163" t="s">
        <v>55</v>
      </c>
      <c r="K15" s="179" t="s">
        <v>29</v>
      </c>
      <c r="L15" s="180">
        <v>31400</v>
      </c>
      <c r="M15" s="204">
        <v>39250</v>
      </c>
      <c r="N15" s="191">
        <v>0</v>
      </c>
      <c r="O15" s="182" t="s">
        <v>57</v>
      </c>
      <c r="P15" s="182" t="s">
        <v>81</v>
      </c>
      <c r="Q15" s="182" t="s">
        <v>232</v>
      </c>
      <c r="R15" s="179" t="s">
        <v>165</v>
      </c>
      <c r="S15" s="363" t="s">
        <v>376</v>
      </c>
      <c r="T15" s="397"/>
      <c r="U15" s="288" t="s">
        <v>376</v>
      </c>
      <c r="V15" s="238" t="s">
        <v>376</v>
      </c>
      <c r="W15" s="184" t="s">
        <v>364</v>
      </c>
    </row>
    <row r="16" spans="1:23" s="162" customFormat="1" x14ac:dyDescent="0.3">
      <c r="A16" s="163" t="s">
        <v>52</v>
      </c>
      <c r="B16" s="163" t="s">
        <v>53</v>
      </c>
      <c r="C16" s="373" t="str">
        <f t="shared" si="0"/>
        <v>--</v>
      </c>
      <c r="D16" s="163" t="s">
        <v>54</v>
      </c>
      <c r="E16" s="205" t="s">
        <v>376</v>
      </c>
      <c r="F16" s="205" t="s">
        <v>376</v>
      </c>
      <c r="G16" s="205" t="s">
        <v>376</v>
      </c>
      <c r="H16" s="183">
        <v>44770</v>
      </c>
      <c r="I16" s="178">
        <v>2022</v>
      </c>
      <c r="J16" s="163" t="s">
        <v>55</v>
      </c>
      <c r="K16" s="179" t="s">
        <v>46</v>
      </c>
      <c r="L16" s="180">
        <v>20800</v>
      </c>
      <c r="M16" s="204">
        <v>26000</v>
      </c>
      <c r="N16" s="191">
        <v>0</v>
      </c>
      <c r="O16" s="182" t="s">
        <v>57</v>
      </c>
      <c r="P16" s="182" t="s">
        <v>49</v>
      </c>
      <c r="Q16" s="182" t="s">
        <v>232</v>
      </c>
      <c r="R16" s="179" t="s">
        <v>58</v>
      </c>
      <c r="S16" s="363" t="s">
        <v>376</v>
      </c>
      <c r="T16" s="363"/>
      <c r="U16" s="238" t="s">
        <v>376</v>
      </c>
      <c r="V16" s="238" t="s">
        <v>376</v>
      </c>
      <c r="W16" s="184" t="s">
        <v>364</v>
      </c>
    </row>
    <row r="17" spans="1:23" s="162" customFormat="1" ht="14.4" thickBot="1" x14ac:dyDescent="0.35">
      <c r="A17" s="210" t="s">
        <v>168</v>
      </c>
      <c r="B17" s="210" t="s">
        <v>169</v>
      </c>
      <c r="C17" s="374" t="str">
        <f t="shared" si="0"/>
        <v>--</v>
      </c>
      <c r="D17" s="210" t="s">
        <v>741</v>
      </c>
      <c r="E17" s="210" t="s">
        <v>170</v>
      </c>
      <c r="F17" s="210"/>
      <c r="G17" s="210"/>
      <c r="H17" s="216">
        <v>44497</v>
      </c>
      <c r="I17" s="211">
        <v>2022</v>
      </c>
      <c r="J17" s="210" t="s">
        <v>742</v>
      </c>
      <c r="K17" s="212" t="s">
        <v>29</v>
      </c>
      <c r="L17" s="213">
        <v>1125000</v>
      </c>
      <c r="M17" s="214">
        <v>1125000</v>
      </c>
      <c r="N17" s="215">
        <v>0.02</v>
      </c>
      <c r="O17" s="209" t="s">
        <v>31</v>
      </c>
      <c r="P17" s="209" t="s">
        <v>32</v>
      </c>
      <c r="Q17" s="209" t="s">
        <v>232</v>
      </c>
      <c r="R17" s="212" t="s">
        <v>33</v>
      </c>
      <c r="S17" s="366" t="s">
        <v>376</v>
      </c>
      <c r="T17" s="366"/>
      <c r="U17" s="217"/>
      <c r="V17" s="217"/>
      <c r="W17" s="217" t="s">
        <v>364</v>
      </c>
    </row>
    <row r="18" spans="1:23" s="162" customFormat="1" x14ac:dyDescent="0.3">
      <c r="A18" s="290" t="s">
        <v>408</v>
      </c>
      <c r="B18" s="291" t="s">
        <v>409</v>
      </c>
      <c r="C18" s="375">
        <f t="shared" si="0"/>
        <v>28</v>
      </c>
      <c r="D18" s="291" t="s">
        <v>410</v>
      </c>
      <c r="E18" s="291" t="s">
        <v>411</v>
      </c>
      <c r="F18" s="291" t="s">
        <v>800</v>
      </c>
      <c r="G18" s="331" t="s">
        <v>376</v>
      </c>
      <c r="H18" s="292">
        <v>44497</v>
      </c>
      <c r="I18" s="293">
        <v>2022</v>
      </c>
      <c r="J18" s="291" t="s">
        <v>28</v>
      </c>
      <c r="K18" s="294" t="s">
        <v>114</v>
      </c>
      <c r="L18" s="295">
        <v>162900</v>
      </c>
      <c r="M18" s="296">
        <v>181000</v>
      </c>
      <c r="N18" s="297">
        <v>50.26</v>
      </c>
      <c r="O18" s="298" t="s">
        <v>31</v>
      </c>
      <c r="P18" s="298" t="s">
        <v>32</v>
      </c>
      <c r="Q18" s="299" t="s">
        <v>592</v>
      </c>
      <c r="R18" s="300" t="s">
        <v>1022</v>
      </c>
      <c r="S18" s="367">
        <v>28</v>
      </c>
      <c r="T18" s="367" t="s">
        <v>833</v>
      </c>
      <c r="U18" s="301" t="s">
        <v>376</v>
      </c>
      <c r="V18" s="302" t="s">
        <v>37</v>
      </c>
      <c r="W18" s="303" t="s">
        <v>364</v>
      </c>
    </row>
    <row r="19" spans="1:23" s="162" customFormat="1" x14ac:dyDescent="0.3">
      <c r="A19" s="304" t="s">
        <v>420</v>
      </c>
      <c r="B19" s="305" t="s">
        <v>409</v>
      </c>
      <c r="C19" s="373">
        <f t="shared" si="0"/>
        <v>28</v>
      </c>
      <c r="D19" s="305" t="s">
        <v>410</v>
      </c>
      <c r="E19" s="305" t="s">
        <v>411</v>
      </c>
      <c r="F19" s="305" t="s">
        <v>800</v>
      </c>
      <c r="G19" s="332" t="s">
        <v>376</v>
      </c>
      <c r="H19" s="306">
        <v>44801</v>
      </c>
      <c r="I19" s="307">
        <v>2022</v>
      </c>
      <c r="J19" s="305" t="s">
        <v>415</v>
      </c>
      <c r="K19" s="308" t="s">
        <v>29</v>
      </c>
      <c r="L19" s="309">
        <v>34568000</v>
      </c>
      <c r="M19" s="310">
        <v>43210000</v>
      </c>
      <c r="N19" s="311">
        <v>50.26</v>
      </c>
      <c r="O19" s="312" t="s">
        <v>31</v>
      </c>
      <c r="P19" s="312" t="s">
        <v>32</v>
      </c>
      <c r="Q19" s="313" t="s">
        <v>592</v>
      </c>
      <c r="R19" s="314" t="s">
        <v>1023</v>
      </c>
      <c r="S19" s="368">
        <v>28</v>
      </c>
      <c r="T19" s="368" t="s">
        <v>833</v>
      </c>
      <c r="U19" s="330" t="s">
        <v>376</v>
      </c>
      <c r="V19" s="315" t="s">
        <v>37</v>
      </c>
      <c r="W19" s="316" t="s">
        <v>364</v>
      </c>
    </row>
    <row r="20" spans="1:23" s="162" customFormat="1" x14ac:dyDescent="0.3">
      <c r="A20" s="304" t="s">
        <v>413</v>
      </c>
      <c r="B20" s="305" t="s">
        <v>414</v>
      </c>
      <c r="C20" s="373" t="str">
        <f t="shared" si="0"/>
        <v>--</v>
      </c>
      <c r="D20" s="305" t="s">
        <v>590</v>
      </c>
      <c r="E20" s="305" t="s">
        <v>411</v>
      </c>
      <c r="F20" s="305"/>
      <c r="G20" s="305"/>
      <c r="H20" s="306">
        <v>44740</v>
      </c>
      <c r="I20" s="307">
        <v>2022</v>
      </c>
      <c r="J20" s="305" t="s">
        <v>415</v>
      </c>
      <c r="K20" s="308" t="s">
        <v>29</v>
      </c>
      <c r="L20" s="309">
        <v>10896000</v>
      </c>
      <c r="M20" s="310">
        <v>13620000</v>
      </c>
      <c r="N20" s="311">
        <v>19.63</v>
      </c>
      <c r="O20" s="312" t="s">
        <v>31</v>
      </c>
      <c r="P20" s="312" t="s">
        <v>32</v>
      </c>
      <c r="Q20" s="313" t="s">
        <v>592</v>
      </c>
      <c r="R20" s="314" t="s">
        <v>419</v>
      </c>
      <c r="S20" s="369" t="s">
        <v>376</v>
      </c>
      <c r="T20" s="369"/>
      <c r="U20" s="315"/>
      <c r="V20" s="315"/>
      <c r="W20" s="316" t="s">
        <v>364</v>
      </c>
    </row>
    <row r="21" spans="1:23" s="162" customFormat="1" x14ac:dyDescent="0.3">
      <c r="A21" s="304" t="s">
        <v>416</v>
      </c>
      <c r="B21" s="305" t="s">
        <v>414</v>
      </c>
      <c r="C21" s="373" t="str">
        <f t="shared" si="0"/>
        <v>--</v>
      </c>
      <c r="D21" s="305" t="s">
        <v>590</v>
      </c>
      <c r="E21" s="305" t="s">
        <v>411</v>
      </c>
      <c r="F21" s="305"/>
      <c r="G21" s="305"/>
      <c r="H21" s="306">
        <v>44740</v>
      </c>
      <c r="I21" s="307">
        <v>2022</v>
      </c>
      <c r="J21" s="305" t="s">
        <v>28</v>
      </c>
      <c r="K21" s="308" t="s">
        <v>114</v>
      </c>
      <c r="L21" s="309">
        <v>48000</v>
      </c>
      <c r="M21" s="310">
        <v>48000</v>
      </c>
      <c r="N21" s="311">
        <v>19.63</v>
      </c>
      <c r="O21" s="312" t="s">
        <v>31</v>
      </c>
      <c r="P21" s="312" t="s">
        <v>32</v>
      </c>
      <c r="Q21" s="313" t="s">
        <v>592</v>
      </c>
      <c r="R21" s="314" t="s">
        <v>419</v>
      </c>
      <c r="S21" s="369" t="s">
        <v>376</v>
      </c>
      <c r="T21" s="369"/>
      <c r="U21" s="315"/>
      <c r="V21" s="315"/>
      <c r="W21" s="316" t="s">
        <v>364</v>
      </c>
    </row>
    <row r="22" spans="1:23" s="162" customFormat="1" ht="14.4" thickBot="1" x14ac:dyDescent="0.35">
      <c r="A22" s="317" t="s">
        <v>413</v>
      </c>
      <c r="B22" s="318" t="s">
        <v>414</v>
      </c>
      <c r="C22" s="376" t="str">
        <f t="shared" si="0"/>
        <v>--</v>
      </c>
      <c r="D22" s="318" t="s">
        <v>417</v>
      </c>
      <c r="E22" s="318" t="s">
        <v>411</v>
      </c>
      <c r="F22" s="318"/>
      <c r="G22" s="318"/>
      <c r="H22" s="319">
        <v>44740</v>
      </c>
      <c r="I22" s="320">
        <v>2022</v>
      </c>
      <c r="J22" s="318" t="s">
        <v>418</v>
      </c>
      <c r="K22" s="321" t="s">
        <v>29</v>
      </c>
      <c r="L22" s="322">
        <v>20000000</v>
      </c>
      <c r="M22" s="323">
        <v>20000000</v>
      </c>
      <c r="N22" s="324">
        <v>19.63</v>
      </c>
      <c r="O22" s="325" t="s">
        <v>31</v>
      </c>
      <c r="P22" s="325" t="s">
        <v>32</v>
      </c>
      <c r="Q22" s="326" t="s">
        <v>592</v>
      </c>
      <c r="R22" s="327" t="s">
        <v>419</v>
      </c>
      <c r="S22" s="370" t="s">
        <v>376</v>
      </c>
      <c r="T22" s="370"/>
      <c r="U22" s="328"/>
      <c r="V22" s="328"/>
      <c r="W22" s="329" t="s">
        <v>364</v>
      </c>
    </row>
    <row r="23" spans="1:23" s="162" customFormat="1" hidden="1" x14ac:dyDescent="0.3">
      <c r="A23" s="218" t="s">
        <v>429</v>
      </c>
      <c r="B23" s="218" t="s">
        <v>430</v>
      </c>
      <c r="C23" s="375" t="str">
        <f t="shared" si="0"/>
        <v>--</v>
      </c>
      <c r="D23" s="218" t="s">
        <v>743</v>
      </c>
      <c r="E23" s="219" t="s">
        <v>376</v>
      </c>
      <c r="F23" s="218"/>
      <c r="G23" s="218"/>
      <c r="H23" s="225">
        <v>44801</v>
      </c>
      <c r="I23" s="220">
        <v>2022</v>
      </c>
      <c r="J23" s="218" t="s">
        <v>366</v>
      </c>
      <c r="K23" s="221" t="s">
        <v>46</v>
      </c>
      <c r="L23" s="222">
        <v>400000</v>
      </c>
      <c r="M23" s="223">
        <v>500000</v>
      </c>
      <c r="N23" s="224">
        <v>0</v>
      </c>
      <c r="O23" s="194" t="s">
        <v>31</v>
      </c>
      <c r="P23" s="194" t="s">
        <v>32</v>
      </c>
      <c r="Q23" s="194" t="s">
        <v>232</v>
      </c>
      <c r="R23" s="221" t="s">
        <v>431</v>
      </c>
      <c r="S23" s="371" t="s">
        <v>376</v>
      </c>
      <c r="T23" s="398"/>
      <c r="U23" s="228"/>
      <c r="V23" s="227"/>
      <c r="W23" s="227" t="s">
        <v>364</v>
      </c>
    </row>
    <row r="24" spans="1:23" s="162" customFormat="1" hidden="1" x14ac:dyDescent="0.3">
      <c r="A24" s="163" t="s">
        <v>429</v>
      </c>
      <c r="B24" s="163" t="s">
        <v>430</v>
      </c>
      <c r="C24" s="373" t="str">
        <f t="shared" si="0"/>
        <v>--</v>
      </c>
      <c r="D24" s="163" t="s">
        <v>432</v>
      </c>
      <c r="E24" s="205" t="s">
        <v>376</v>
      </c>
      <c r="F24" s="163"/>
      <c r="G24" s="163"/>
      <c r="H24" s="183">
        <v>44801</v>
      </c>
      <c r="I24" s="178">
        <v>2022</v>
      </c>
      <c r="J24" s="163" t="s">
        <v>433</v>
      </c>
      <c r="K24" s="179" t="s">
        <v>46</v>
      </c>
      <c r="L24" s="180">
        <v>400000</v>
      </c>
      <c r="M24" s="204">
        <v>500000</v>
      </c>
      <c r="N24" s="191">
        <v>0</v>
      </c>
      <c r="O24" s="182" t="s">
        <v>31</v>
      </c>
      <c r="P24" s="182" t="s">
        <v>32</v>
      </c>
      <c r="Q24" s="182" t="s">
        <v>232</v>
      </c>
      <c r="R24" s="179" t="s">
        <v>431</v>
      </c>
      <c r="S24" s="363" t="s">
        <v>376</v>
      </c>
      <c r="T24" s="397"/>
      <c r="U24" s="185"/>
      <c r="V24" s="184"/>
      <c r="W24" s="184" t="s">
        <v>364</v>
      </c>
    </row>
    <row r="25" spans="1:23" s="162" customFormat="1" hidden="1" x14ac:dyDescent="0.3">
      <c r="A25" s="163" t="s">
        <v>440</v>
      </c>
      <c r="B25" s="163" t="s">
        <v>441</v>
      </c>
      <c r="C25" s="373" t="str">
        <f t="shared" si="0"/>
        <v>--</v>
      </c>
      <c r="D25" s="163" t="s">
        <v>442</v>
      </c>
      <c r="E25" s="205" t="s">
        <v>376</v>
      </c>
      <c r="F25" s="163"/>
      <c r="G25" s="163"/>
      <c r="H25" s="183">
        <v>45166</v>
      </c>
      <c r="I25" s="178">
        <v>2023</v>
      </c>
      <c r="J25" s="163" t="s">
        <v>366</v>
      </c>
      <c r="K25" s="179" t="s">
        <v>46</v>
      </c>
      <c r="L25" s="180">
        <v>400000</v>
      </c>
      <c r="M25" s="204">
        <v>500000</v>
      </c>
      <c r="N25" s="191">
        <v>0</v>
      </c>
      <c r="O25" s="182" t="s">
        <v>31</v>
      </c>
      <c r="P25" s="182" t="s">
        <v>32</v>
      </c>
      <c r="Q25" s="182" t="s">
        <v>232</v>
      </c>
      <c r="R25" s="179" t="s">
        <v>431</v>
      </c>
      <c r="S25" s="363" t="s">
        <v>376</v>
      </c>
      <c r="T25" s="397"/>
      <c r="U25" s="185"/>
      <c r="V25" s="184"/>
      <c r="W25" s="184" t="s">
        <v>364</v>
      </c>
    </row>
    <row r="26" spans="1:23" s="162" customFormat="1" hidden="1" x14ac:dyDescent="0.3">
      <c r="A26" s="163" t="s">
        <v>440</v>
      </c>
      <c r="B26" s="163" t="s">
        <v>441</v>
      </c>
      <c r="C26" s="373" t="str">
        <f t="shared" si="0"/>
        <v>--</v>
      </c>
      <c r="D26" s="163" t="s">
        <v>744</v>
      </c>
      <c r="E26" s="205" t="s">
        <v>376</v>
      </c>
      <c r="F26" s="163"/>
      <c r="G26" s="163"/>
      <c r="H26" s="183">
        <v>45166</v>
      </c>
      <c r="I26" s="178">
        <v>2023</v>
      </c>
      <c r="J26" s="163" t="s">
        <v>742</v>
      </c>
      <c r="K26" s="179" t="s">
        <v>46</v>
      </c>
      <c r="L26" s="180">
        <v>400000</v>
      </c>
      <c r="M26" s="204">
        <v>500000</v>
      </c>
      <c r="N26" s="191">
        <v>0</v>
      </c>
      <c r="O26" s="182" t="s">
        <v>31</v>
      </c>
      <c r="P26" s="182" t="s">
        <v>32</v>
      </c>
      <c r="Q26" s="182" t="s">
        <v>232</v>
      </c>
      <c r="R26" s="179" t="s">
        <v>431</v>
      </c>
      <c r="S26" s="363" t="s">
        <v>376</v>
      </c>
      <c r="T26" s="397"/>
      <c r="U26" s="185"/>
      <c r="V26" s="184"/>
      <c r="W26" s="184" t="s">
        <v>364</v>
      </c>
    </row>
    <row r="27" spans="1:23" s="162" customFormat="1" hidden="1" x14ac:dyDescent="0.3">
      <c r="A27" s="163" t="s">
        <v>443</v>
      </c>
      <c r="B27" s="163" t="s">
        <v>444</v>
      </c>
      <c r="C27" s="373" t="str">
        <f t="shared" si="0"/>
        <v>--</v>
      </c>
      <c r="D27" s="163" t="s">
        <v>745</v>
      </c>
      <c r="E27" s="205" t="s">
        <v>376</v>
      </c>
      <c r="F27" s="163"/>
      <c r="G27" s="163"/>
      <c r="H27" s="183">
        <v>45532</v>
      </c>
      <c r="I27" s="178">
        <v>2024</v>
      </c>
      <c r="J27" s="163" t="s">
        <v>742</v>
      </c>
      <c r="K27" s="179" t="s">
        <v>46</v>
      </c>
      <c r="L27" s="180">
        <v>400000</v>
      </c>
      <c r="M27" s="204">
        <v>500000</v>
      </c>
      <c r="N27" s="191">
        <v>0</v>
      </c>
      <c r="O27" s="182" t="s">
        <v>31</v>
      </c>
      <c r="P27" s="182" t="s">
        <v>32</v>
      </c>
      <c r="Q27" s="182" t="s">
        <v>232</v>
      </c>
      <c r="R27" s="179" t="s">
        <v>431</v>
      </c>
      <c r="S27" s="363" t="s">
        <v>376</v>
      </c>
      <c r="T27" s="397"/>
      <c r="U27" s="185"/>
      <c r="V27" s="184"/>
      <c r="W27" s="184" t="s">
        <v>364</v>
      </c>
    </row>
    <row r="28" spans="1:23" s="162" customFormat="1" hidden="1" x14ac:dyDescent="0.3">
      <c r="A28" s="163" t="s">
        <v>443</v>
      </c>
      <c r="B28" s="163" t="s">
        <v>444</v>
      </c>
      <c r="C28" s="373" t="str">
        <f t="shared" si="0"/>
        <v>--</v>
      </c>
      <c r="D28" s="163" t="s">
        <v>445</v>
      </c>
      <c r="E28" s="205" t="s">
        <v>376</v>
      </c>
      <c r="F28" s="163"/>
      <c r="G28" s="163"/>
      <c r="H28" s="183">
        <v>45532</v>
      </c>
      <c r="I28" s="178">
        <v>2024</v>
      </c>
      <c r="J28" s="163" t="s">
        <v>366</v>
      </c>
      <c r="K28" s="179" t="s">
        <v>46</v>
      </c>
      <c r="L28" s="180">
        <v>400000</v>
      </c>
      <c r="M28" s="204">
        <v>500000</v>
      </c>
      <c r="N28" s="191">
        <v>0</v>
      </c>
      <c r="O28" s="182" t="s">
        <v>31</v>
      </c>
      <c r="P28" s="182" t="s">
        <v>32</v>
      </c>
      <c r="Q28" s="182" t="s">
        <v>232</v>
      </c>
      <c r="R28" s="179" t="s">
        <v>431</v>
      </c>
      <c r="S28" s="363" t="s">
        <v>376</v>
      </c>
      <c r="T28" s="397"/>
      <c r="U28" s="185"/>
      <c r="V28" s="184"/>
      <c r="W28" s="184" t="s">
        <v>364</v>
      </c>
    </row>
    <row r="29" spans="1:23" s="162" customFormat="1" hidden="1" x14ac:dyDescent="0.3">
      <c r="A29" s="163" t="s">
        <v>446</v>
      </c>
      <c r="B29" s="163" t="s">
        <v>444</v>
      </c>
      <c r="C29" s="373" t="str">
        <f t="shared" si="0"/>
        <v>--</v>
      </c>
      <c r="D29" s="163" t="s">
        <v>447</v>
      </c>
      <c r="E29" s="205" t="s">
        <v>376</v>
      </c>
      <c r="F29" s="163"/>
      <c r="G29" s="163"/>
      <c r="H29" s="183">
        <v>45897</v>
      </c>
      <c r="I29" s="178">
        <v>2025</v>
      </c>
      <c r="J29" s="163" t="s">
        <v>433</v>
      </c>
      <c r="K29" s="179" t="s">
        <v>46</v>
      </c>
      <c r="L29" s="180">
        <v>400000</v>
      </c>
      <c r="M29" s="204">
        <v>500000</v>
      </c>
      <c r="N29" s="191">
        <v>0</v>
      </c>
      <c r="O29" s="182" t="s">
        <v>31</v>
      </c>
      <c r="P29" s="182" t="s">
        <v>32</v>
      </c>
      <c r="Q29" s="182" t="s">
        <v>232</v>
      </c>
      <c r="R29" s="179" t="s">
        <v>431</v>
      </c>
      <c r="S29" s="363" t="s">
        <v>376</v>
      </c>
      <c r="T29" s="397"/>
      <c r="U29" s="185"/>
      <c r="V29" s="184"/>
      <c r="W29" s="184" t="s">
        <v>364</v>
      </c>
    </row>
    <row r="30" spans="1:23" s="162" customFormat="1" hidden="1" x14ac:dyDescent="0.3">
      <c r="A30" s="163" t="s">
        <v>446</v>
      </c>
      <c r="B30" s="163" t="s">
        <v>444</v>
      </c>
      <c r="C30" s="373" t="str">
        <f t="shared" si="0"/>
        <v>--</v>
      </c>
      <c r="D30" s="163" t="s">
        <v>448</v>
      </c>
      <c r="E30" s="205" t="s">
        <v>376</v>
      </c>
      <c r="F30" s="163"/>
      <c r="G30" s="163"/>
      <c r="H30" s="183">
        <v>45897</v>
      </c>
      <c r="I30" s="178">
        <v>2025</v>
      </c>
      <c r="J30" s="163" t="s">
        <v>366</v>
      </c>
      <c r="K30" s="179" t="s">
        <v>46</v>
      </c>
      <c r="L30" s="180">
        <v>400000</v>
      </c>
      <c r="M30" s="204">
        <v>500000</v>
      </c>
      <c r="N30" s="191">
        <v>0</v>
      </c>
      <c r="O30" s="182" t="s">
        <v>31</v>
      </c>
      <c r="P30" s="182" t="s">
        <v>32</v>
      </c>
      <c r="Q30" s="182" t="s">
        <v>232</v>
      </c>
      <c r="R30" s="179" t="s">
        <v>431</v>
      </c>
      <c r="S30" s="363" t="s">
        <v>376</v>
      </c>
      <c r="T30" s="397"/>
      <c r="U30" s="185"/>
      <c r="V30" s="184"/>
      <c r="W30" s="184" t="s">
        <v>364</v>
      </c>
    </row>
    <row r="31" spans="1:23" s="162" customFormat="1" ht="14.4" thickBot="1" x14ac:dyDescent="0.35">
      <c r="C31" s="380"/>
      <c r="I31" s="168"/>
      <c r="M31" s="169"/>
      <c r="O31" s="88"/>
      <c r="P31" s="88"/>
      <c r="Q31" s="88"/>
      <c r="R31" s="170"/>
      <c r="S31" s="372"/>
      <c r="T31" s="372"/>
      <c r="U31" s="171"/>
      <c r="V31" s="171"/>
      <c r="W31" s="172"/>
    </row>
    <row r="32" spans="1:23" ht="14.4" thickBot="1" x14ac:dyDescent="0.35">
      <c r="L32" s="173"/>
      <c r="M32" s="174">
        <f>SUM(M2:M31)</f>
        <v>103558250</v>
      </c>
      <c r="O32" s="87"/>
      <c r="P32" s="106"/>
      <c r="Q32" s="106"/>
      <c r="R32" s="175"/>
    </row>
    <row r="33" spans="1:23" x14ac:dyDescent="0.3">
      <c r="M33" s="29" t="s">
        <v>640</v>
      </c>
      <c r="O33" s="87"/>
      <c r="P33" s="106"/>
      <c r="Q33" s="106"/>
    </row>
    <row r="34" spans="1:23" hidden="1" x14ac:dyDescent="0.3">
      <c r="A34" s="29" t="s">
        <v>749</v>
      </c>
      <c r="O34" s="87"/>
      <c r="P34" s="106"/>
      <c r="Q34" s="106"/>
    </row>
    <row r="35" spans="1:23" s="29" customFormat="1" ht="28.2" hidden="1" thickBot="1" x14ac:dyDescent="0.35">
      <c r="A35" s="151" t="s">
        <v>335</v>
      </c>
      <c r="B35" s="151" t="s">
        <v>334</v>
      </c>
      <c r="C35" s="231"/>
      <c r="D35" s="151" t="s">
        <v>261</v>
      </c>
      <c r="E35" s="152"/>
      <c r="F35" s="151"/>
      <c r="G35" s="151"/>
      <c r="H35" s="206"/>
      <c r="I35" s="151"/>
      <c r="J35" s="151"/>
      <c r="K35" s="151" t="s">
        <v>21</v>
      </c>
      <c r="L35" s="149"/>
      <c r="M35" s="149" t="s">
        <v>9</v>
      </c>
      <c r="N35" s="152" t="s">
        <v>12</v>
      </c>
      <c r="O35" s="160" t="s">
        <v>13</v>
      </c>
      <c r="P35" s="160" t="s">
        <v>14</v>
      </c>
      <c r="Q35" s="161" t="s">
        <v>616</v>
      </c>
      <c r="R35" s="206" t="s">
        <v>15</v>
      </c>
      <c r="S35" s="287" t="s">
        <v>260</v>
      </c>
      <c r="T35" s="395" t="s">
        <v>825</v>
      </c>
      <c r="U35" s="232" t="s">
        <v>259</v>
      </c>
      <c r="V35" s="207" t="s">
        <v>23</v>
      </c>
      <c r="W35" s="207"/>
    </row>
    <row r="36" spans="1:23" hidden="1" x14ac:dyDescent="0.3">
      <c r="A36" s="35" t="s">
        <v>262</v>
      </c>
      <c r="B36" s="35" t="s">
        <v>271</v>
      </c>
      <c r="C36" s="359"/>
      <c r="D36" s="35" t="s">
        <v>597</v>
      </c>
      <c r="E36" s="44" t="s">
        <v>195</v>
      </c>
      <c r="F36" s="35"/>
      <c r="G36" s="35"/>
      <c r="H36" s="154"/>
      <c r="I36" s="35"/>
      <c r="J36" s="35"/>
      <c r="K36" s="35" t="s">
        <v>29</v>
      </c>
      <c r="L36" s="192"/>
      <c r="M36" s="150">
        <v>374000</v>
      </c>
      <c r="N36" s="44">
        <v>2.5</v>
      </c>
      <c r="O36" s="193" t="s">
        <v>31</v>
      </c>
      <c r="P36" s="194" t="s">
        <v>232</v>
      </c>
      <c r="Q36" s="194" t="s">
        <v>232</v>
      </c>
      <c r="R36" s="120" t="s">
        <v>266</v>
      </c>
      <c r="S36" s="54">
        <v>27</v>
      </c>
      <c r="T36" s="54"/>
      <c r="U36" s="120">
        <v>74</v>
      </c>
      <c r="V36" s="155" t="s">
        <v>37</v>
      </c>
      <c r="W36" s="184" t="s">
        <v>364</v>
      </c>
    </row>
    <row r="37" spans="1:23" hidden="1" x14ac:dyDescent="0.3">
      <c r="A37" s="32" t="s">
        <v>262</v>
      </c>
      <c r="B37" s="32" t="s">
        <v>270</v>
      </c>
      <c r="C37" s="381"/>
      <c r="D37" s="32" t="s">
        <v>598</v>
      </c>
      <c r="E37" s="43" t="s">
        <v>740</v>
      </c>
      <c r="F37" s="32"/>
      <c r="G37" s="32"/>
      <c r="H37" s="156"/>
      <c r="I37" s="32"/>
      <c r="J37" s="32"/>
      <c r="K37" s="32" t="s">
        <v>29</v>
      </c>
      <c r="L37" s="146"/>
      <c r="M37" s="148">
        <v>880000</v>
      </c>
      <c r="N37" s="43">
        <v>5.6</v>
      </c>
      <c r="O37" s="195" t="s">
        <v>31</v>
      </c>
      <c r="P37" s="182" t="s">
        <v>232</v>
      </c>
      <c r="Q37" s="182" t="s">
        <v>232</v>
      </c>
      <c r="R37" s="142" t="s">
        <v>266</v>
      </c>
      <c r="S37" s="31">
        <v>28</v>
      </c>
      <c r="T37" s="31"/>
      <c r="U37" s="142">
        <v>75</v>
      </c>
      <c r="V37" s="157" t="s">
        <v>37</v>
      </c>
      <c r="W37" s="184" t="s">
        <v>364</v>
      </c>
    </row>
    <row r="38" spans="1:23" hidden="1" x14ac:dyDescent="0.3">
      <c r="A38" s="32" t="s">
        <v>262</v>
      </c>
      <c r="B38" s="32" t="s">
        <v>269</v>
      </c>
      <c r="C38" s="381"/>
      <c r="D38" s="32" t="s">
        <v>599</v>
      </c>
      <c r="E38" s="43"/>
      <c r="F38" s="32"/>
      <c r="G38" s="32"/>
      <c r="H38" s="156"/>
      <c r="I38" s="32"/>
      <c r="J38" s="32"/>
      <c r="K38" s="32" t="s">
        <v>29</v>
      </c>
      <c r="L38" s="146"/>
      <c r="M38" s="148">
        <v>954000</v>
      </c>
      <c r="N38" s="43">
        <v>4.4000000000000004</v>
      </c>
      <c r="O38" s="182" t="s">
        <v>57</v>
      </c>
      <c r="P38" s="182" t="s">
        <v>705</v>
      </c>
      <c r="Q38" s="182" t="s">
        <v>232</v>
      </c>
      <c r="R38" s="142" t="s">
        <v>267</v>
      </c>
      <c r="S38" s="31">
        <v>29</v>
      </c>
      <c r="T38" s="31"/>
      <c r="U38" s="142">
        <v>76</v>
      </c>
      <c r="V38" s="157" t="s">
        <v>37</v>
      </c>
      <c r="W38" s="184" t="s">
        <v>364</v>
      </c>
    </row>
    <row r="39" spans="1:23" hidden="1" x14ac:dyDescent="0.3">
      <c r="A39" s="32" t="s">
        <v>262</v>
      </c>
      <c r="B39" s="32" t="s">
        <v>199</v>
      </c>
      <c r="C39" s="381"/>
      <c r="D39" s="32" t="s">
        <v>600</v>
      </c>
      <c r="E39" s="43"/>
      <c r="F39" s="32"/>
      <c r="G39" s="32"/>
      <c r="H39" s="156"/>
      <c r="I39" s="32"/>
      <c r="J39" s="32"/>
      <c r="K39" s="32" t="s">
        <v>29</v>
      </c>
      <c r="L39" s="146"/>
      <c r="M39" s="148">
        <v>783000</v>
      </c>
      <c r="N39" s="43">
        <v>2.4</v>
      </c>
      <c r="O39" s="182" t="s">
        <v>57</v>
      </c>
      <c r="P39" s="182" t="s">
        <v>705</v>
      </c>
      <c r="Q39" s="182" t="s">
        <v>232</v>
      </c>
      <c r="R39" s="142" t="s">
        <v>267</v>
      </c>
      <c r="S39" s="31">
        <v>29</v>
      </c>
      <c r="T39" s="31"/>
      <c r="U39" s="142">
        <v>77</v>
      </c>
      <c r="V39" s="157" t="s">
        <v>37</v>
      </c>
      <c r="W39" s="184" t="s">
        <v>364</v>
      </c>
    </row>
    <row r="40" spans="1:23" hidden="1" x14ac:dyDescent="0.3">
      <c r="A40" s="32" t="s">
        <v>262</v>
      </c>
      <c r="B40" s="32" t="s">
        <v>86</v>
      </c>
      <c r="C40" s="381"/>
      <c r="D40" s="32" t="s">
        <v>268</v>
      </c>
      <c r="E40" s="43"/>
      <c r="F40" s="32"/>
      <c r="G40" s="32"/>
      <c r="H40" s="156"/>
      <c r="I40" s="32"/>
      <c r="J40" s="32"/>
      <c r="K40" s="32" t="s">
        <v>29</v>
      </c>
      <c r="L40" s="146"/>
      <c r="M40" s="148">
        <v>1100000</v>
      </c>
      <c r="N40" s="43">
        <v>0.1037260257543947</v>
      </c>
      <c r="O40" s="195" t="s">
        <v>31</v>
      </c>
      <c r="P40" s="182" t="s">
        <v>32</v>
      </c>
      <c r="Q40" s="182" t="s">
        <v>232</v>
      </c>
      <c r="R40" s="142" t="s">
        <v>263</v>
      </c>
      <c r="S40" s="31">
        <v>30</v>
      </c>
      <c r="T40" s="31"/>
      <c r="U40" s="142">
        <v>78</v>
      </c>
      <c r="V40" s="157" t="s">
        <v>37</v>
      </c>
      <c r="W40" s="184" t="s">
        <v>364</v>
      </c>
    </row>
    <row r="41" spans="1:23" hidden="1" x14ac:dyDescent="0.3">
      <c r="A41" s="32" t="s">
        <v>262</v>
      </c>
      <c r="B41" s="32" t="s">
        <v>229</v>
      </c>
      <c r="C41" s="381"/>
      <c r="D41" s="32" t="s">
        <v>601</v>
      </c>
      <c r="E41" s="43"/>
      <c r="F41" s="32"/>
      <c r="G41" s="32"/>
      <c r="H41" s="156"/>
      <c r="I41" s="32"/>
      <c r="J41" s="32"/>
      <c r="K41" s="32" t="s">
        <v>29</v>
      </c>
      <c r="L41" s="146"/>
      <c r="M41" s="148">
        <v>1593000</v>
      </c>
      <c r="N41" s="43">
        <v>1.3314320533413313</v>
      </c>
      <c r="O41" s="182" t="s">
        <v>57</v>
      </c>
      <c r="P41" s="182" t="s">
        <v>705</v>
      </c>
      <c r="Q41" s="182" t="s">
        <v>232</v>
      </c>
      <c r="R41" s="142" t="s">
        <v>267</v>
      </c>
      <c r="S41" s="31">
        <v>29</v>
      </c>
      <c r="T41" s="31"/>
      <c r="U41" s="142">
        <v>79</v>
      </c>
      <c r="V41" s="157" t="s">
        <v>37</v>
      </c>
      <c r="W41" s="184" t="s">
        <v>364</v>
      </c>
    </row>
    <row r="42" spans="1:23" hidden="1" x14ac:dyDescent="0.3">
      <c r="A42" s="32" t="s">
        <v>262</v>
      </c>
      <c r="B42" s="32" t="s">
        <v>265</v>
      </c>
      <c r="C42" s="381"/>
      <c r="D42" s="32" t="s">
        <v>602</v>
      </c>
      <c r="E42" s="43"/>
      <c r="F42" s="32"/>
      <c r="G42" s="32"/>
      <c r="H42" s="156"/>
      <c r="I42" s="32"/>
      <c r="J42" s="32"/>
      <c r="K42" s="32" t="s">
        <v>29</v>
      </c>
      <c r="L42" s="146"/>
      <c r="M42" s="148">
        <v>1407538</v>
      </c>
      <c r="N42" s="43">
        <v>4.9000000000000004</v>
      </c>
      <c r="O42" s="195" t="s">
        <v>31</v>
      </c>
      <c r="P42" s="182" t="s">
        <v>232</v>
      </c>
      <c r="Q42" s="182" t="s">
        <v>232</v>
      </c>
      <c r="R42" s="142" t="s">
        <v>266</v>
      </c>
      <c r="S42" s="31">
        <v>31</v>
      </c>
      <c r="T42" s="31"/>
      <c r="U42" s="142">
        <v>80</v>
      </c>
      <c r="V42" s="157" t="s">
        <v>37</v>
      </c>
      <c r="W42" s="184" t="s">
        <v>364</v>
      </c>
    </row>
    <row r="43" spans="1:23" ht="14.4" hidden="1" thickBot="1" x14ac:dyDescent="0.35">
      <c r="A43" s="40" t="s">
        <v>262</v>
      </c>
      <c r="B43" s="40" t="s">
        <v>86</v>
      </c>
      <c r="C43" s="231"/>
      <c r="D43" s="40" t="s">
        <v>264</v>
      </c>
      <c r="E43" s="45"/>
      <c r="F43" s="40"/>
      <c r="G43" s="40"/>
      <c r="H43" s="158"/>
      <c r="I43" s="40"/>
      <c r="J43" s="40"/>
      <c r="K43" s="40" t="s">
        <v>46</v>
      </c>
      <c r="L43" s="147"/>
      <c r="M43" s="149">
        <v>15000</v>
      </c>
      <c r="N43" s="45">
        <v>0.10492191468110018</v>
      </c>
      <c r="O43" s="196" t="s">
        <v>31</v>
      </c>
      <c r="P43" s="197" t="s">
        <v>32</v>
      </c>
      <c r="Q43" s="197" t="s">
        <v>232</v>
      </c>
      <c r="R43" s="40" t="s">
        <v>263</v>
      </c>
      <c r="S43" s="52">
        <v>32</v>
      </c>
      <c r="T43" s="52"/>
      <c r="U43" s="143">
        <v>81</v>
      </c>
      <c r="V43" s="159" t="s">
        <v>37</v>
      </c>
      <c r="W43" s="260" t="s">
        <v>364</v>
      </c>
    </row>
    <row r="44" spans="1:23" hidden="1" x14ac:dyDescent="0.3"/>
    <row r="47" spans="1:23" x14ac:dyDescent="0.3">
      <c r="A47" s="121"/>
      <c r="B47" s="121"/>
      <c r="C47" s="382"/>
      <c r="D47" s="121"/>
      <c r="E47" s="121"/>
      <c r="F47" s="121"/>
      <c r="G47" s="121"/>
      <c r="H47" s="121"/>
    </row>
    <row r="48" spans="1:23" x14ac:dyDescent="0.3">
      <c r="A48" s="121"/>
      <c r="B48" s="121"/>
      <c r="C48" s="382"/>
      <c r="D48" s="121"/>
      <c r="E48" s="121"/>
      <c r="F48" s="121"/>
      <c r="G48" s="121"/>
      <c r="H48" s="121"/>
    </row>
    <row r="49" spans="1:8" x14ac:dyDescent="0.3">
      <c r="A49" s="121"/>
      <c r="B49" s="229"/>
      <c r="C49" s="383"/>
      <c r="D49" s="121"/>
      <c r="E49" s="121"/>
      <c r="F49" s="121"/>
      <c r="G49" s="121"/>
      <c r="H49" s="121"/>
    </row>
    <row r="50" spans="1:8" x14ac:dyDescent="0.3">
      <c r="A50" s="121"/>
      <c r="B50" s="121"/>
      <c r="C50" s="382"/>
      <c r="D50" s="121"/>
      <c r="E50" s="121"/>
      <c r="F50" s="121"/>
      <c r="G50" s="121"/>
      <c r="H50" s="121"/>
    </row>
    <row r="51" spans="1:8" x14ac:dyDescent="0.3">
      <c r="A51" s="121"/>
      <c r="B51" s="229"/>
      <c r="C51" s="383"/>
      <c r="D51" s="121"/>
      <c r="E51" s="121"/>
      <c r="F51" s="121"/>
      <c r="G51" s="121"/>
      <c r="H51" s="121"/>
    </row>
    <row r="52" spans="1:8" x14ac:dyDescent="0.3">
      <c r="A52" s="121"/>
      <c r="B52" s="229"/>
      <c r="C52" s="383"/>
      <c r="D52" s="230"/>
      <c r="E52" s="121"/>
      <c r="F52" s="121"/>
      <c r="G52" s="121"/>
      <c r="H52" s="121"/>
    </row>
    <row r="53" spans="1:8" x14ac:dyDescent="0.3">
      <c r="A53" s="121"/>
      <c r="B53" s="229"/>
      <c r="C53" s="383"/>
      <c r="D53" s="230"/>
      <c r="E53" s="121"/>
      <c r="F53" s="121"/>
      <c r="G53" s="121"/>
      <c r="H53" s="121"/>
    </row>
    <row r="54" spans="1:8" x14ac:dyDescent="0.3">
      <c r="A54" s="121"/>
      <c r="B54" s="229"/>
      <c r="C54" s="383"/>
      <c r="D54" s="230"/>
      <c r="E54" s="121"/>
      <c r="F54" s="121"/>
      <c r="G54" s="121"/>
      <c r="H54" s="121"/>
    </row>
    <row r="55" spans="1:8" x14ac:dyDescent="0.3">
      <c r="A55" s="121"/>
      <c r="B55" s="121"/>
      <c r="C55" s="382"/>
      <c r="D55" s="121"/>
      <c r="E55" s="121"/>
      <c r="F55" s="121"/>
      <c r="G55" s="121"/>
      <c r="H55" s="121"/>
    </row>
    <row r="56" spans="1:8" x14ac:dyDescent="0.3">
      <c r="A56" s="121"/>
      <c r="B56" s="121"/>
      <c r="C56" s="382"/>
      <c r="D56" s="121"/>
      <c r="E56" s="121"/>
      <c r="F56" s="121"/>
      <c r="G56" s="121"/>
      <c r="H56" s="121"/>
    </row>
  </sheetData>
  <autoFilter ref="A1:W30" xr:uid="{B84894C7-FF18-448D-BD2F-73B947879C61}"/>
  <conditionalFormatting sqref="I44:I1048576 I31:I3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E1 N36:N43 I1:K1 A36:E43 U36:V43 R36:R43 G36:K43 A2:K2 E1:E12 H1:H12 L1:R12 S2:W10 S12:W13 D14:W30 D13:R13 A3:C30 D3:K12 D11:W11">
    <cfRule type="expression" dxfId="450" priority="157">
      <formula>MOD(ROW(),2)=0</formula>
    </cfRule>
  </conditionalFormatting>
  <conditionalFormatting sqref="I2:I30">
    <cfRule type="colorScale" priority="156">
      <colorScale>
        <cfvo type="min"/>
        <cfvo type="max"/>
        <color rgb="FF63BE7B"/>
        <color rgb="FFFFEF9C"/>
      </colorScale>
    </cfRule>
  </conditionalFormatting>
  <conditionalFormatting sqref="Q36:Q43">
    <cfRule type="expression" dxfId="449" priority="25">
      <formula>MOD(ROW(),2)=0</formula>
    </cfRule>
  </conditionalFormatting>
  <conditionalFormatting sqref="M36:M43">
    <cfRule type="expression" dxfId="448" priority="19">
      <formula>MOD(ROW(),2)=0</formula>
    </cfRule>
  </conditionalFormatting>
  <conditionalFormatting sqref="E36:E43">
    <cfRule type="expression" dxfId="447" priority="17">
      <formula>MOD(ROW(),2)=0</formula>
    </cfRule>
  </conditionalFormatting>
  <conditionalFormatting sqref="O36:O37 O40 O42:O43">
    <cfRule type="expression" dxfId="446" priority="16">
      <formula>MOD(ROW(),2)=0</formula>
    </cfRule>
  </conditionalFormatting>
  <conditionalFormatting sqref="F36:F43">
    <cfRule type="expression" dxfId="445" priority="15">
      <formula>MOD(ROW(),2)=0</formula>
    </cfRule>
  </conditionalFormatting>
  <conditionalFormatting sqref="P36:P43">
    <cfRule type="expression" dxfId="444" priority="14">
      <formula>MOD(ROW(),2)=0</formula>
    </cfRule>
  </conditionalFormatting>
  <conditionalFormatting sqref="L36:L43">
    <cfRule type="expression" dxfId="443" priority="11">
      <formula>MOD(ROW(),2)=0</formula>
    </cfRule>
  </conditionalFormatting>
  <conditionalFormatting sqref="O38:O39">
    <cfRule type="expression" dxfId="442" priority="6">
      <formula>MOD(ROW(),2)=0</formula>
    </cfRule>
  </conditionalFormatting>
  <conditionalFormatting sqref="O41">
    <cfRule type="expression" dxfId="441" priority="5">
      <formula>MOD(ROW(),2)=0</formula>
    </cfRule>
  </conditionalFormatting>
  <conditionalFormatting sqref="U36:U43">
    <cfRule type="expression" dxfId="440" priority="8">
      <formula>MOD(ROW(),2)=0</formula>
    </cfRule>
  </conditionalFormatting>
  <conditionalFormatting sqref="S36:T43">
    <cfRule type="expression" dxfId="439" priority="4">
      <formula>MOD(ROW(),2)=0</formula>
    </cfRule>
  </conditionalFormatting>
  <conditionalFormatting sqref="W36:W43">
    <cfRule type="expression" dxfId="438" priority="1">
      <formula>MOD(ROW(),2)=0</formula>
    </cfRule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EC851-5B28-446D-B3CC-3F4D68156B74}">
  <dimension ref="A1:AJ60"/>
  <sheetViews>
    <sheetView workbookViewId="0"/>
  </sheetViews>
  <sheetFormatPr defaultRowHeight="14.4" x14ac:dyDescent="0.3"/>
  <cols>
    <col min="1" max="1" width="7.109375" style="604" customWidth="1"/>
    <col min="2" max="2" width="33.33203125" style="30" customWidth="1"/>
    <col min="3" max="4" width="12.5546875" style="681" hidden="1" customWidth="1"/>
    <col min="5" max="5" width="6.33203125" style="30" customWidth="1"/>
    <col min="6" max="6" width="14" style="255" customWidth="1"/>
    <col min="7" max="7" width="6" style="30" customWidth="1"/>
    <col min="8" max="8" width="13.109375" style="29" customWidth="1"/>
    <col min="9" max="9" width="9.33203125" style="87" customWidth="1"/>
    <col min="10" max="10" width="10.44140625" style="87" bestFit="1" customWidth="1"/>
    <col min="11" max="11" width="17.33203125" style="688" bestFit="1" customWidth="1"/>
    <col min="12" max="12" width="42.109375" style="230" customWidth="1"/>
    <col min="13" max="13" width="4.88671875" customWidth="1"/>
    <col min="14" max="14" width="7" style="761" customWidth="1"/>
    <col min="15" max="15" width="25" style="736" bestFit="1" customWidth="1"/>
    <col min="16" max="16" width="13.6640625" style="736" customWidth="1"/>
    <col min="17" max="17" width="11.88671875" style="736" customWidth="1"/>
    <col min="18" max="18" width="7.6640625" style="765" customWidth="1"/>
    <col min="19" max="19" width="19.33203125" style="772" customWidth="1"/>
    <col min="20" max="20" width="13.88671875" style="765" customWidth="1"/>
    <col min="21" max="21" width="14.5546875" style="765" bestFit="1" customWidth="1"/>
    <col min="22" max="22" width="9.109375" style="168"/>
    <col min="24" max="24" width="13.88671875" bestFit="1" customWidth="1"/>
    <col min="25" max="25" width="12.5546875" bestFit="1" customWidth="1"/>
    <col min="26" max="26" width="13.33203125" customWidth="1"/>
    <col min="27" max="27" width="14.88671875" customWidth="1"/>
    <col min="28" max="28" width="12.5546875" bestFit="1" customWidth="1"/>
    <col min="29" max="29" width="12.5546875" customWidth="1"/>
    <col min="30" max="30" width="12.5546875" bestFit="1" customWidth="1"/>
    <col min="31" max="31" width="12.5546875" customWidth="1"/>
    <col min="32" max="32" width="11.5546875" customWidth="1"/>
    <col min="33" max="33" width="11" bestFit="1" customWidth="1"/>
    <col min="34" max="34" width="9.5546875" bestFit="1" customWidth="1"/>
    <col min="36" max="36" width="9.109375" style="431"/>
  </cols>
  <sheetData>
    <row r="1" spans="1:34" ht="15" thickBot="1" x14ac:dyDescent="0.35">
      <c r="Y1" s="614" t="s">
        <v>1328</v>
      </c>
    </row>
    <row r="2" spans="1:34" ht="43.8" thickBot="1" x14ac:dyDescent="0.35">
      <c r="A2" s="763" t="s">
        <v>1317</v>
      </c>
      <c r="B2" s="694" t="s">
        <v>2</v>
      </c>
      <c r="C2" s="695" t="s">
        <v>3</v>
      </c>
      <c r="D2" s="695" t="s">
        <v>4</v>
      </c>
      <c r="E2" s="694" t="s">
        <v>7</v>
      </c>
      <c r="F2" s="696" t="s">
        <v>9</v>
      </c>
      <c r="G2" s="694" t="s">
        <v>12</v>
      </c>
      <c r="H2" s="694" t="s">
        <v>1281</v>
      </c>
      <c r="I2" s="697" t="s">
        <v>13</v>
      </c>
      <c r="J2" s="697" t="s">
        <v>14</v>
      </c>
      <c r="K2" s="698" t="s">
        <v>667</v>
      </c>
      <c r="L2" s="699" t="s">
        <v>15</v>
      </c>
      <c r="N2" s="759" t="s">
        <v>1315</v>
      </c>
      <c r="O2" s="731" t="s">
        <v>1290</v>
      </c>
      <c r="P2" s="731" t="s">
        <v>1286</v>
      </c>
      <c r="Q2" s="731" t="s">
        <v>1287</v>
      </c>
      <c r="S2" s="766" t="s">
        <v>1319</v>
      </c>
      <c r="T2" s="767"/>
      <c r="X2" s="794" t="s">
        <v>1331</v>
      </c>
      <c r="Y2" s="787" t="s">
        <v>1334</v>
      </c>
      <c r="Z2" s="787" t="s">
        <v>1320</v>
      </c>
      <c r="AA2" s="787" t="s">
        <v>1335</v>
      </c>
      <c r="AB2" s="787" t="s">
        <v>1314</v>
      </c>
      <c r="AC2" s="787" t="s">
        <v>1333</v>
      </c>
      <c r="AD2" s="787" t="s">
        <v>1332</v>
      </c>
      <c r="AE2" s="787" t="s">
        <v>1293</v>
      </c>
      <c r="AF2" s="787" t="s">
        <v>1330</v>
      </c>
      <c r="AG2" s="787" t="s">
        <v>81</v>
      </c>
      <c r="AH2" s="787" t="s">
        <v>1284</v>
      </c>
    </row>
    <row r="3" spans="1:34" x14ac:dyDescent="0.3">
      <c r="B3" s="700" t="s">
        <v>580</v>
      </c>
      <c r="C3" s="701" t="s">
        <v>614</v>
      </c>
      <c r="D3" s="701" t="s">
        <v>643</v>
      </c>
      <c r="E3" s="702" t="s">
        <v>29</v>
      </c>
      <c r="F3" s="703">
        <v>384000</v>
      </c>
      <c r="G3" s="704">
        <f>857.5/5280</f>
        <v>0.16240530303030304</v>
      </c>
      <c r="H3" s="703">
        <f>F3/G3</f>
        <v>2364454.8104956266</v>
      </c>
      <c r="I3" s="705" t="s">
        <v>57</v>
      </c>
      <c r="J3" s="705" t="s">
        <v>74</v>
      </c>
      <c r="K3" s="706" t="s">
        <v>968</v>
      </c>
      <c r="L3" s="707" t="s">
        <v>375</v>
      </c>
      <c r="N3" s="760" t="s">
        <v>1317</v>
      </c>
      <c r="O3" s="732" t="s">
        <v>1285</v>
      </c>
      <c r="P3" s="733">
        <v>1300000</v>
      </c>
      <c r="Q3" s="732" t="s">
        <v>1288</v>
      </c>
      <c r="S3" s="768" t="s">
        <v>1320</v>
      </c>
      <c r="T3" s="769">
        <v>24000000</v>
      </c>
      <c r="X3" s="791" t="s">
        <v>722</v>
      </c>
      <c r="Y3" s="792">
        <v>25000000</v>
      </c>
      <c r="Z3" s="792">
        <v>24000000</v>
      </c>
      <c r="AA3" s="792">
        <v>18000000</v>
      </c>
      <c r="AB3" s="792">
        <v>14000000</v>
      </c>
      <c r="AC3" s="792">
        <v>40000000</v>
      </c>
      <c r="AD3" s="792">
        <v>12000000</v>
      </c>
      <c r="AE3" s="792">
        <v>1600000</v>
      </c>
      <c r="AF3" s="792">
        <v>2300000</v>
      </c>
      <c r="AG3" s="792">
        <v>1200000</v>
      </c>
      <c r="AH3" s="793">
        <v>250000</v>
      </c>
    </row>
    <row r="4" spans="1:34" ht="28.8" x14ac:dyDescent="0.3">
      <c r="B4" s="708" t="s">
        <v>230</v>
      </c>
      <c r="C4" s="676" t="s">
        <v>641</v>
      </c>
      <c r="D4" s="676" t="s">
        <v>642</v>
      </c>
      <c r="E4" s="179" t="s">
        <v>29</v>
      </c>
      <c r="F4" s="252">
        <v>1593000</v>
      </c>
      <c r="G4" s="186">
        <v>1.33</v>
      </c>
      <c r="H4" s="252">
        <f>F4/G4</f>
        <v>1197744.3609022556</v>
      </c>
      <c r="I4" s="182" t="s">
        <v>57</v>
      </c>
      <c r="J4" s="182" t="s">
        <v>74</v>
      </c>
      <c r="K4" s="684" t="s">
        <v>968</v>
      </c>
      <c r="L4" s="709" t="s">
        <v>201</v>
      </c>
      <c r="N4" s="760" t="s">
        <v>1317</v>
      </c>
      <c r="O4" s="732" t="s">
        <v>1283</v>
      </c>
      <c r="P4" s="733">
        <v>550000</v>
      </c>
      <c r="Q4" s="732" t="s">
        <v>1288</v>
      </c>
      <c r="S4" s="768" t="s">
        <v>1321</v>
      </c>
      <c r="T4" s="769">
        <v>18000000</v>
      </c>
      <c r="X4" s="797" t="s">
        <v>1336</v>
      </c>
      <c r="Y4" s="798">
        <v>23000000</v>
      </c>
      <c r="Z4" s="798">
        <v>18000000</v>
      </c>
      <c r="AA4" s="798">
        <v>12000000</v>
      </c>
      <c r="AB4" s="798">
        <v>10000000</v>
      </c>
      <c r="AC4" s="798">
        <v>8000000</v>
      </c>
      <c r="AD4" s="798">
        <v>8000000</v>
      </c>
      <c r="AE4" s="798">
        <v>1000000</v>
      </c>
      <c r="AF4" s="798">
        <v>800000</v>
      </c>
      <c r="AG4" s="798">
        <v>550000</v>
      </c>
      <c r="AH4" s="799">
        <v>150000</v>
      </c>
    </row>
    <row r="5" spans="1:34" ht="15" thickBot="1" x14ac:dyDescent="0.35">
      <c r="B5" s="708" t="s">
        <v>200</v>
      </c>
      <c r="C5" s="676" t="s">
        <v>644</v>
      </c>
      <c r="D5" s="676" t="s">
        <v>645</v>
      </c>
      <c r="E5" s="179" t="s">
        <v>29</v>
      </c>
      <c r="F5" s="252">
        <v>783000</v>
      </c>
      <c r="G5" s="181">
        <v>2.4</v>
      </c>
      <c r="H5" s="252">
        <f>F5/G5</f>
        <v>326250</v>
      </c>
      <c r="I5" s="182" t="s">
        <v>31</v>
      </c>
      <c r="J5" s="182" t="s">
        <v>105</v>
      </c>
      <c r="K5" s="684" t="s">
        <v>968</v>
      </c>
      <c r="L5" s="709" t="s">
        <v>201</v>
      </c>
      <c r="N5" s="760" t="s">
        <v>1317</v>
      </c>
      <c r="O5" s="732" t="s">
        <v>1295</v>
      </c>
      <c r="P5" s="733">
        <v>300000</v>
      </c>
      <c r="Q5" s="732" t="s">
        <v>1294</v>
      </c>
      <c r="S5" s="768" t="s">
        <v>1322</v>
      </c>
      <c r="T5" s="769">
        <v>8400000</v>
      </c>
      <c r="X5" s="788" t="s">
        <v>1329</v>
      </c>
      <c r="Y5" s="789">
        <v>18000000</v>
      </c>
      <c r="Z5" s="789">
        <v>9000000</v>
      </c>
      <c r="AA5" s="789">
        <v>2000000</v>
      </c>
      <c r="AB5" s="789">
        <v>2000000</v>
      </c>
      <c r="AC5" s="789">
        <v>6000000</v>
      </c>
      <c r="AD5" s="789">
        <v>2000000</v>
      </c>
      <c r="AE5" s="789">
        <v>400000</v>
      </c>
      <c r="AF5" s="789">
        <v>200000</v>
      </c>
      <c r="AG5" s="789">
        <v>30000</v>
      </c>
      <c r="AH5" s="790">
        <v>150000</v>
      </c>
    </row>
    <row r="6" spans="1:34" x14ac:dyDescent="0.3">
      <c r="B6" s="708" t="s">
        <v>73</v>
      </c>
      <c r="C6" s="142" t="s">
        <v>822</v>
      </c>
      <c r="D6" s="676" t="s">
        <v>646</v>
      </c>
      <c r="E6" s="179" t="s">
        <v>29</v>
      </c>
      <c r="F6" s="252">
        <v>240000</v>
      </c>
      <c r="G6" s="181">
        <f>5068.540606/5280</f>
        <v>0.95995087234848475</v>
      </c>
      <c r="H6" s="252">
        <f>F6/G6</f>
        <v>250012.79431399313</v>
      </c>
      <c r="I6" s="182" t="s">
        <v>57</v>
      </c>
      <c r="J6" s="182" t="s">
        <v>74</v>
      </c>
      <c r="K6" s="684" t="s">
        <v>968</v>
      </c>
      <c r="L6" s="709" t="s">
        <v>75</v>
      </c>
      <c r="N6" s="760" t="s">
        <v>1317</v>
      </c>
      <c r="O6" s="732" t="s">
        <v>1284</v>
      </c>
      <c r="P6" s="733">
        <v>125000</v>
      </c>
      <c r="Q6" s="732" t="s">
        <v>1289</v>
      </c>
      <c r="S6" s="768" t="s">
        <v>237</v>
      </c>
      <c r="T6" s="769">
        <v>2000000</v>
      </c>
      <c r="X6" s="795"/>
      <c r="Y6" s="796"/>
      <c r="Z6" s="796"/>
      <c r="AA6" s="796"/>
      <c r="AB6" s="796"/>
      <c r="AC6" s="796"/>
      <c r="AD6" s="796"/>
      <c r="AE6" s="796"/>
      <c r="AF6" s="796"/>
      <c r="AG6" s="796"/>
      <c r="AH6" s="796"/>
    </row>
    <row r="7" spans="1:34" ht="15" thickBot="1" x14ac:dyDescent="0.35">
      <c r="B7" s="708" t="s">
        <v>73</v>
      </c>
      <c r="C7" s="142" t="s">
        <v>822</v>
      </c>
      <c r="D7" s="676" t="s">
        <v>646</v>
      </c>
      <c r="E7" s="683" t="s">
        <v>46</v>
      </c>
      <c r="F7" s="252">
        <v>60000</v>
      </c>
      <c r="G7" s="191"/>
      <c r="H7" s="722">
        <f>F7/F6</f>
        <v>0.25</v>
      </c>
      <c r="I7" s="182" t="s">
        <v>57</v>
      </c>
      <c r="J7" s="182" t="s">
        <v>74</v>
      </c>
      <c r="K7" s="684" t="s">
        <v>968</v>
      </c>
      <c r="L7" s="709" t="s">
        <v>75</v>
      </c>
      <c r="N7" s="760" t="s">
        <v>1317</v>
      </c>
      <c r="O7" s="734" t="s">
        <v>1296</v>
      </c>
      <c r="P7" s="735" t="s">
        <v>1292</v>
      </c>
      <c r="Q7" s="734" t="s">
        <v>1291</v>
      </c>
      <c r="S7" s="770" t="s">
        <v>669</v>
      </c>
      <c r="T7" s="771">
        <v>400000</v>
      </c>
      <c r="Y7" t="s">
        <v>1394</v>
      </c>
    </row>
    <row r="8" spans="1:34" ht="27.6" x14ac:dyDescent="0.3">
      <c r="B8" s="708" t="s">
        <v>213</v>
      </c>
      <c r="C8" s="676" t="s">
        <v>647</v>
      </c>
      <c r="D8" s="676" t="s">
        <v>648</v>
      </c>
      <c r="E8" s="179" t="s">
        <v>29</v>
      </c>
      <c r="F8" s="252">
        <v>92000</v>
      </c>
      <c r="G8" s="186">
        <f>900/5280</f>
        <v>0.17045454545454544</v>
      </c>
      <c r="H8" s="252">
        <f t="shared" ref="H8:H26" si="0">F8/G8</f>
        <v>539733.33333333337</v>
      </c>
      <c r="I8" s="182" t="s">
        <v>57</v>
      </c>
      <c r="J8" s="182" t="s">
        <v>81</v>
      </c>
      <c r="K8" s="684" t="s">
        <v>968</v>
      </c>
      <c r="L8" s="709" t="s">
        <v>653</v>
      </c>
      <c r="Z8" t="s">
        <v>1395</v>
      </c>
    </row>
    <row r="9" spans="1:34" ht="15" thickBot="1" x14ac:dyDescent="0.35">
      <c r="B9" s="708" t="s">
        <v>209</v>
      </c>
      <c r="C9" s="676" t="s">
        <v>816</v>
      </c>
      <c r="D9" s="142" t="s">
        <v>823</v>
      </c>
      <c r="E9" s="179" t="s">
        <v>29</v>
      </c>
      <c r="F9" s="252">
        <v>30320</v>
      </c>
      <c r="G9" s="191">
        <v>1</v>
      </c>
      <c r="H9" s="252">
        <f>F9/G9</f>
        <v>30320</v>
      </c>
      <c r="I9" s="182" t="s">
        <v>57</v>
      </c>
      <c r="J9" s="182" t="s">
        <v>81</v>
      </c>
      <c r="K9" s="684" t="s">
        <v>968</v>
      </c>
      <c r="L9" s="709" t="s">
        <v>82</v>
      </c>
      <c r="S9" s="784" t="s">
        <v>1323</v>
      </c>
      <c r="T9" s="785" t="s">
        <v>1324</v>
      </c>
      <c r="U9" s="785" t="s">
        <v>1326</v>
      </c>
      <c r="V9" s="786" t="s">
        <v>12</v>
      </c>
    </row>
    <row r="10" spans="1:34" ht="27.6" x14ac:dyDescent="0.3">
      <c r="B10" s="708" t="s">
        <v>217</v>
      </c>
      <c r="C10" s="676" t="s">
        <v>475</v>
      </c>
      <c r="D10" s="676" t="s">
        <v>812</v>
      </c>
      <c r="E10" s="179" t="s">
        <v>29</v>
      </c>
      <c r="F10" s="252">
        <v>375000</v>
      </c>
      <c r="G10" s="721"/>
      <c r="H10" s="252" t="e">
        <f t="shared" si="0"/>
        <v>#DIV/0!</v>
      </c>
      <c r="I10" s="182" t="s">
        <v>57</v>
      </c>
      <c r="J10" s="182" t="s">
        <v>81</v>
      </c>
      <c r="K10" s="684" t="s">
        <v>968</v>
      </c>
      <c r="L10" s="709" t="s">
        <v>218</v>
      </c>
      <c r="S10" s="778" t="s">
        <v>858</v>
      </c>
      <c r="T10" s="779">
        <f t="shared" ref="T10:T48" si="1">U10/V10</f>
        <v>17222222.22222222</v>
      </c>
      <c r="U10" s="779">
        <v>15500000</v>
      </c>
      <c r="V10" s="780">
        <v>0.9</v>
      </c>
    </row>
    <row r="11" spans="1:34" x14ac:dyDescent="0.3">
      <c r="B11" s="708" t="s">
        <v>426</v>
      </c>
      <c r="C11" s="676" t="s">
        <v>817</v>
      </c>
      <c r="D11" s="677" t="s">
        <v>376</v>
      </c>
      <c r="E11" s="179" t="s">
        <v>29</v>
      </c>
      <c r="F11" s="252">
        <v>150000</v>
      </c>
      <c r="G11" s="186">
        <v>0.18</v>
      </c>
      <c r="H11" s="252">
        <f t="shared" si="0"/>
        <v>833333.33333333337</v>
      </c>
      <c r="I11" s="182" t="s">
        <v>57</v>
      </c>
      <c r="J11" s="182" t="s">
        <v>49</v>
      </c>
      <c r="K11" s="684" t="s">
        <v>968</v>
      </c>
      <c r="L11" s="709" t="s">
        <v>428</v>
      </c>
      <c r="S11" s="768" t="s">
        <v>858</v>
      </c>
      <c r="T11" s="773">
        <f t="shared" si="1"/>
        <v>6000000</v>
      </c>
      <c r="U11" s="773">
        <v>1800000</v>
      </c>
      <c r="V11" s="781">
        <v>0.3</v>
      </c>
    </row>
    <row r="12" spans="1:34" x14ac:dyDescent="0.3">
      <c r="B12" s="708" t="s">
        <v>155</v>
      </c>
      <c r="C12" s="676" t="s">
        <v>818</v>
      </c>
      <c r="D12" s="676" t="s">
        <v>816</v>
      </c>
      <c r="E12" s="683" t="s">
        <v>46</v>
      </c>
      <c r="F12" s="252">
        <v>25000</v>
      </c>
      <c r="G12" s="191"/>
      <c r="H12" s="722">
        <f>F12/F11</f>
        <v>0.16666666666666666</v>
      </c>
      <c r="I12" s="182" t="s">
        <v>57</v>
      </c>
      <c r="J12" s="182" t="s">
        <v>49</v>
      </c>
      <c r="K12" s="684" t="s">
        <v>968</v>
      </c>
      <c r="L12" s="709" t="s">
        <v>156</v>
      </c>
      <c r="S12" s="768" t="s">
        <v>858</v>
      </c>
      <c r="T12" s="773">
        <f t="shared" si="1"/>
        <v>6000000</v>
      </c>
      <c r="U12" s="773">
        <v>1200000</v>
      </c>
      <c r="V12" s="781">
        <v>0.2</v>
      </c>
    </row>
    <row r="13" spans="1:34" x14ac:dyDescent="0.3">
      <c r="B13" s="708" t="s">
        <v>155</v>
      </c>
      <c r="C13" s="676" t="s">
        <v>818</v>
      </c>
      <c r="D13" s="676" t="s">
        <v>816</v>
      </c>
      <c r="E13" s="179" t="s">
        <v>29</v>
      </c>
      <c r="F13" s="252">
        <v>125000</v>
      </c>
      <c r="G13" s="191">
        <v>1</v>
      </c>
      <c r="H13" s="252">
        <f t="shared" si="0"/>
        <v>125000</v>
      </c>
      <c r="I13" s="182" t="s">
        <v>57</v>
      </c>
      <c r="J13" s="182" t="s">
        <v>49</v>
      </c>
      <c r="K13" s="684" t="s">
        <v>968</v>
      </c>
      <c r="L13" s="709" t="s">
        <v>156</v>
      </c>
      <c r="N13" s="762" t="s">
        <v>1315</v>
      </c>
      <c r="O13" s="731" t="s">
        <v>1290</v>
      </c>
      <c r="P13" s="731" t="s">
        <v>1286</v>
      </c>
      <c r="Q13" s="731" t="s">
        <v>1287</v>
      </c>
      <c r="S13" s="768" t="s">
        <v>858</v>
      </c>
      <c r="T13" s="773">
        <f t="shared" si="1"/>
        <v>5888888.888888889</v>
      </c>
      <c r="U13" s="773">
        <v>5300000</v>
      </c>
      <c r="V13" s="781">
        <v>0.9</v>
      </c>
    </row>
    <row r="14" spans="1:34" ht="15" thickBot="1" x14ac:dyDescent="0.35">
      <c r="B14" s="710" t="s">
        <v>181</v>
      </c>
      <c r="C14" s="711" t="s">
        <v>614</v>
      </c>
      <c r="D14" s="711" t="s">
        <v>643</v>
      </c>
      <c r="E14" s="712" t="s">
        <v>29</v>
      </c>
      <c r="F14" s="713">
        <v>297500</v>
      </c>
      <c r="G14" s="714">
        <v>1</v>
      </c>
      <c r="H14" s="713">
        <f t="shared" ref="H14:H22" si="2">F14/G14</f>
        <v>297500</v>
      </c>
      <c r="I14" s="197" t="s">
        <v>57</v>
      </c>
      <c r="J14" s="197" t="s">
        <v>49</v>
      </c>
      <c r="K14" s="715" t="s">
        <v>968</v>
      </c>
      <c r="L14" s="716" t="s">
        <v>182</v>
      </c>
      <c r="N14" s="760" t="s">
        <v>1317</v>
      </c>
      <c r="O14" s="732" t="s">
        <v>1297</v>
      </c>
      <c r="P14" s="733">
        <v>25000000</v>
      </c>
      <c r="Q14" s="732" t="s">
        <v>1288</v>
      </c>
      <c r="S14" s="768" t="s">
        <v>858</v>
      </c>
      <c r="T14" s="773">
        <f t="shared" si="1"/>
        <v>5777777.777777778</v>
      </c>
      <c r="U14" s="773">
        <v>5200000</v>
      </c>
      <c r="V14" s="781">
        <v>0.9</v>
      </c>
    </row>
    <row r="15" spans="1:34" ht="41.4" x14ac:dyDescent="0.3">
      <c r="B15" s="290" t="s">
        <v>221</v>
      </c>
      <c r="C15" s="682" t="s">
        <v>1062</v>
      </c>
      <c r="D15" s="682" t="s">
        <v>1063</v>
      </c>
      <c r="E15" s="294" t="s">
        <v>29</v>
      </c>
      <c r="F15" s="337">
        <v>16000000</v>
      </c>
      <c r="G15" s="297">
        <v>1.08</v>
      </c>
      <c r="H15" s="337">
        <f t="shared" si="2"/>
        <v>14814814.814814813</v>
      </c>
      <c r="I15" s="298" t="s">
        <v>1282</v>
      </c>
      <c r="J15" s="298" t="s">
        <v>105</v>
      </c>
      <c r="K15" s="685" t="s">
        <v>105</v>
      </c>
      <c r="L15" s="718" t="s">
        <v>630</v>
      </c>
      <c r="N15" s="760" t="s">
        <v>1317</v>
      </c>
      <c r="O15" s="732" t="s">
        <v>1314</v>
      </c>
      <c r="P15" s="733">
        <v>14000000</v>
      </c>
      <c r="Q15" s="732" t="s">
        <v>1288</v>
      </c>
      <c r="S15" s="768" t="s">
        <v>858</v>
      </c>
      <c r="T15" s="773">
        <f t="shared" si="1"/>
        <v>5750000</v>
      </c>
      <c r="U15" s="773">
        <v>2300000</v>
      </c>
      <c r="V15" s="781">
        <v>0.4</v>
      </c>
    </row>
    <row r="16" spans="1:34" ht="41.4" x14ac:dyDescent="0.3">
      <c r="B16" s="723" t="s">
        <v>1024</v>
      </c>
      <c r="C16" s="679" t="s">
        <v>536</v>
      </c>
      <c r="D16" s="679" t="s">
        <v>475</v>
      </c>
      <c r="E16" s="308" t="s">
        <v>29</v>
      </c>
      <c r="F16" s="342">
        <v>12000000</v>
      </c>
      <c r="G16" s="311">
        <v>0.86</v>
      </c>
      <c r="H16" s="342">
        <f t="shared" si="2"/>
        <v>13953488.372093024</v>
      </c>
      <c r="I16" s="312" t="s">
        <v>1282</v>
      </c>
      <c r="J16" s="312" t="s">
        <v>105</v>
      </c>
      <c r="K16" s="686" t="s">
        <v>105</v>
      </c>
      <c r="L16" s="719" t="s">
        <v>627</v>
      </c>
      <c r="N16" s="760" t="s">
        <v>1317</v>
      </c>
      <c r="O16" s="732" t="s">
        <v>1301</v>
      </c>
      <c r="P16" s="733">
        <v>1200000</v>
      </c>
      <c r="Q16" s="732" t="s">
        <v>1288</v>
      </c>
      <c r="S16" s="768" t="s">
        <v>858</v>
      </c>
      <c r="T16" s="773">
        <f t="shared" si="1"/>
        <v>2307692.3076923075</v>
      </c>
      <c r="U16" s="773">
        <v>3000000</v>
      </c>
      <c r="V16" s="781">
        <v>1.3</v>
      </c>
    </row>
    <row r="17" spans="1:22" ht="28.2" thickBot="1" x14ac:dyDescent="0.35">
      <c r="B17" s="304" t="s">
        <v>306</v>
      </c>
      <c r="C17" s="679" t="s">
        <v>614</v>
      </c>
      <c r="D17" s="679" t="s">
        <v>615</v>
      </c>
      <c r="E17" s="308" t="s">
        <v>29</v>
      </c>
      <c r="F17" s="342">
        <v>4800000</v>
      </c>
      <c r="G17" s="690">
        <v>0.4</v>
      </c>
      <c r="H17" s="342">
        <f t="shared" si="2"/>
        <v>12000000</v>
      </c>
      <c r="I17" s="312" t="s">
        <v>1282</v>
      </c>
      <c r="J17" s="312" t="s">
        <v>105</v>
      </c>
      <c r="K17" s="686" t="s">
        <v>105</v>
      </c>
      <c r="L17" s="719" t="s">
        <v>631</v>
      </c>
      <c r="N17" s="760" t="s">
        <v>1317</v>
      </c>
      <c r="O17" s="732" t="s">
        <v>1298</v>
      </c>
      <c r="P17" s="733">
        <v>200000</v>
      </c>
      <c r="Q17" s="732" t="s">
        <v>237</v>
      </c>
      <c r="S17" s="768" t="s">
        <v>858</v>
      </c>
      <c r="T17" s="773">
        <f t="shared" si="1"/>
        <v>1200000</v>
      </c>
      <c r="U17" s="773">
        <v>6000000</v>
      </c>
      <c r="V17" s="781">
        <v>5</v>
      </c>
    </row>
    <row r="18" spans="1:22" ht="55.2" x14ac:dyDescent="0.3">
      <c r="B18" s="304" t="s">
        <v>625</v>
      </c>
      <c r="C18" s="679" t="s">
        <v>651</v>
      </c>
      <c r="D18" s="679" t="s">
        <v>626</v>
      </c>
      <c r="E18" s="308" t="s">
        <v>29</v>
      </c>
      <c r="F18" s="342">
        <v>8500000</v>
      </c>
      <c r="G18" s="311">
        <v>0.94</v>
      </c>
      <c r="H18" s="342">
        <f t="shared" si="2"/>
        <v>9042553.1914893631</v>
      </c>
      <c r="I18" s="312" t="s">
        <v>1282</v>
      </c>
      <c r="J18" s="312" t="s">
        <v>105</v>
      </c>
      <c r="K18" s="686" t="s">
        <v>105</v>
      </c>
      <c r="L18" s="719" t="s">
        <v>636</v>
      </c>
      <c r="N18" s="760" t="s">
        <v>1317</v>
      </c>
      <c r="O18" s="734" t="s">
        <v>1299</v>
      </c>
      <c r="P18" s="737">
        <v>3000000</v>
      </c>
      <c r="Q18" s="734" t="s">
        <v>1300</v>
      </c>
      <c r="S18" s="778" t="s">
        <v>1293</v>
      </c>
      <c r="T18" s="779">
        <f t="shared" si="1"/>
        <v>887040</v>
      </c>
      <c r="U18" s="779">
        <v>1596672</v>
      </c>
      <c r="V18" s="780">
        <v>1.8</v>
      </c>
    </row>
    <row r="19" spans="1:22" ht="42" thickBot="1" x14ac:dyDescent="0.35">
      <c r="B19" s="304" t="s">
        <v>750</v>
      </c>
      <c r="C19" s="679" t="s">
        <v>475</v>
      </c>
      <c r="D19" s="679" t="s">
        <v>624</v>
      </c>
      <c r="E19" s="308" t="s">
        <v>29</v>
      </c>
      <c r="F19" s="342">
        <v>2400000</v>
      </c>
      <c r="G19" s="311">
        <v>0.86</v>
      </c>
      <c r="H19" s="342">
        <f t="shared" si="2"/>
        <v>2790697.6744186045</v>
      </c>
      <c r="I19" s="312" t="s">
        <v>1282</v>
      </c>
      <c r="J19" s="312" t="s">
        <v>105</v>
      </c>
      <c r="K19" s="686" t="s">
        <v>105</v>
      </c>
      <c r="L19" s="719" t="s">
        <v>629</v>
      </c>
      <c r="S19" s="770" t="s">
        <v>1293</v>
      </c>
      <c r="T19" s="782">
        <f t="shared" si="1"/>
        <v>444230.76923076919</v>
      </c>
      <c r="U19" s="782">
        <v>1155000</v>
      </c>
      <c r="V19" s="783">
        <v>2.6</v>
      </c>
    </row>
    <row r="20" spans="1:22" ht="27.6" x14ac:dyDescent="0.3">
      <c r="B20" s="304" t="s">
        <v>113</v>
      </c>
      <c r="C20" s="724" t="s">
        <v>820</v>
      </c>
      <c r="D20" s="724" t="s">
        <v>821</v>
      </c>
      <c r="E20" s="308" t="s">
        <v>29</v>
      </c>
      <c r="F20" s="342">
        <v>475000</v>
      </c>
      <c r="G20" s="690">
        <v>0.4</v>
      </c>
      <c r="H20" s="342">
        <f t="shared" si="2"/>
        <v>1187500</v>
      </c>
      <c r="I20" s="312" t="s">
        <v>1282</v>
      </c>
      <c r="J20" s="312" t="s">
        <v>105</v>
      </c>
      <c r="K20" s="686" t="s">
        <v>105</v>
      </c>
      <c r="L20" s="719" t="s">
        <v>813</v>
      </c>
      <c r="S20" s="778" t="s">
        <v>1327</v>
      </c>
      <c r="T20" s="779">
        <f t="shared" si="1"/>
        <v>24166666.666666668</v>
      </c>
      <c r="U20" s="779">
        <v>72500000</v>
      </c>
      <c r="V20" s="780">
        <v>3</v>
      </c>
    </row>
    <row r="21" spans="1:22" x14ac:dyDescent="0.3">
      <c r="B21" s="304" t="s">
        <v>221</v>
      </c>
      <c r="C21" s="724" t="s">
        <v>376</v>
      </c>
      <c r="D21" s="724" t="s">
        <v>376</v>
      </c>
      <c r="E21" s="689" t="s">
        <v>114</v>
      </c>
      <c r="F21" s="342">
        <v>3000000</v>
      </c>
      <c r="G21" s="311">
        <v>1.08</v>
      </c>
      <c r="H21" s="725">
        <f t="shared" si="2"/>
        <v>2777777.7777777775</v>
      </c>
      <c r="I21" s="312" t="s">
        <v>1282</v>
      </c>
      <c r="J21" s="312" t="s">
        <v>105</v>
      </c>
      <c r="K21" s="686" t="s">
        <v>105</v>
      </c>
      <c r="L21" s="719" t="s">
        <v>129</v>
      </c>
      <c r="S21" s="768" t="s">
        <v>1327</v>
      </c>
      <c r="T21" s="773">
        <f t="shared" si="1"/>
        <v>15000000</v>
      </c>
      <c r="U21" s="773">
        <v>3000000</v>
      </c>
      <c r="V21" s="781">
        <v>0.2</v>
      </c>
    </row>
    <row r="22" spans="1:22" ht="27.6" x14ac:dyDescent="0.3">
      <c r="B22" s="726" t="s">
        <v>649</v>
      </c>
      <c r="C22" s="727" t="s">
        <v>810</v>
      </c>
      <c r="D22" s="727" t="s">
        <v>811</v>
      </c>
      <c r="E22" s="727" t="s">
        <v>29</v>
      </c>
      <c r="F22" s="728">
        <v>66000000</v>
      </c>
      <c r="G22" s="729">
        <v>0.8</v>
      </c>
      <c r="H22" s="342">
        <f t="shared" si="2"/>
        <v>82500000</v>
      </c>
      <c r="I22" s="312" t="s">
        <v>1282</v>
      </c>
      <c r="J22" s="312" t="s">
        <v>553</v>
      </c>
      <c r="K22" s="686" t="s">
        <v>116</v>
      </c>
      <c r="L22" s="730" t="s">
        <v>650</v>
      </c>
      <c r="N22" s="762" t="s">
        <v>1315</v>
      </c>
      <c r="O22" s="731" t="s">
        <v>1290</v>
      </c>
      <c r="P22" s="731" t="s">
        <v>1286</v>
      </c>
      <c r="Q22" s="731" t="s">
        <v>1287</v>
      </c>
      <c r="S22" s="768" t="s">
        <v>1327</v>
      </c>
      <c r="T22" s="773">
        <f t="shared" si="1"/>
        <v>14833333.333333334</v>
      </c>
      <c r="U22" s="773">
        <v>17800000</v>
      </c>
      <c r="V22" s="781">
        <v>1.2</v>
      </c>
    </row>
    <row r="23" spans="1:22" ht="28.2" thickBot="1" x14ac:dyDescent="0.35">
      <c r="B23" s="317" t="s">
        <v>122</v>
      </c>
      <c r="C23" s="680" t="s">
        <v>814</v>
      </c>
      <c r="D23" s="680" t="s">
        <v>815</v>
      </c>
      <c r="E23" s="321" t="s">
        <v>29</v>
      </c>
      <c r="F23" s="346">
        <v>150000</v>
      </c>
      <c r="G23" s="691">
        <v>0.2</v>
      </c>
      <c r="H23" s="346">
        <f t="shared" si="0"/>
        <v>750000</v>
      </c>
      <c r="I23" s="325" t="s">
        <v>237</v>
      </c>
      <c r="J23" s="325" t="s">
        <v>553</v>
      </c>
      <c r="K23" s="687" t="s">
        <v>105</v>
      </c>
      <c r="L23" s="720" t="s">
        <v>125</v>
      </c>
      <c r="N23" s="760" t="s">
        <v>1317</v>
      </c>
      <c r="O23" s="732" t="s">
        <v>1302</v>
      </c>
      <c r="P23" s="733">
        <v>3500000</v>
      </c>
      <c r="Q23" s="732" t="s">
        <v>32</v>
      </c>
      <c r="S23" s="768" t="s">
        <v>1327</v>
      </c>
      <c r="T23" s="773">
        <f t="shared" si="1"/>
        <v>13725490.196078433</v>
      </c>
      <c r="U23" s="773">
        <v>70000000</v>
      </c>
      <c r="V23" s="781">
        <v>5.0999999999999996</v>
      </c>
    </row>
    <row r="24" spans="1:22" ht="15" thickBot="1" x14ac:dyDescent="0.35">
      <c r="B24" s="290" t="s">
        <v>417</v>
      </c>
      <c r="C24" s="682"/>
      <c r="D24" s="682"/>
      <c r="E24" s="294" t="s">
        <v>29</v>
      </c>
      <c r="F24" s="337">
        <v>20000000</v>
      </c>
      <c r="G24" s="717">
        <v>4</v>
      </c>
      <c r="H24" s="337">
        <f>F24/G24</f>
        <v>5000000</v>
      </c>
      <c r="I24" s="298" t="s">
        <v>32</v>
      </c>
      <c r="J24" s="298" t="s">
        <v>32</v>
      </c>
      <c r="K24" s="685" t="s">
        <v>105</v>
      </c>
      <c r="L24" s="718" t="s">
        <v>419</v>
      </c>
      <c r="N24" s="760" t="s">
        <v>1317</v>
      </c>
      <c r="O24" s="734" t="s">
        <v>1299</v>
      </c>
      <c r="P24" s="738">
        <v>0.05</v>
      </c>
      <c r="Q24" s="734" t="s">
        <v>1291</v>
      </c>
      <c r="S24" s="770" t="s">
        <v>1327</v>
      </c>
      <c r="T24" s="782">
        <f t="shared" si="1"/>
        <v>9828125</v>
      </c>
      <c r="U24" s="782">
        <v>125800000</v>
      </c>
      <c r="V24" s="783">
        <v>12.8</v>
      </c>
    </row>
    <row r="25" spans="1:22" x14ac:dyDescent="0.3">
      <c r="B25" s="304" t="s">
        <v>590</v>
      </c>
      <c r="C25" s="679"/>
      <c r="D25" s="679"/>
      <c r="E25" s="308" t="s">
        <v>29</v>
      </c>
      <c r="F25" s="342">
        <v>13620000</v>
      </c>
      <c r="G25" s="692">
        <v>4</v>
      </c>
      <c r="H25" s="342">
        <f t="shared" si="0"/>
        <v>3405000</v>
      </c>
      <c r="I25" s="312" t="s">
        <v>32</v>
      </c>
      <c r="J25" s="312" t="s">
        <v>32</v>
      </c>
      <c r="K25" s="686" t="s">
        <v>105</v>
      </c>
      <c r="L25" s="719" t="s">
        <v>419</v>
      </c>
      <c r="S25" s="778" t="s">
        <v>553</v>
      </c>
      <c r="T25" s="779">
        <f t="shared" si="1"/>
        <v>27796915.422885574</v>
      </c>
      <c r="U25" s="779">
        <v>111743600</v>
      </c>
      <c r="V25" s="780">
        <v>4.0199999999999996</v>
      </c>
    </row>
    <row r="26" spans="1:22" ht="15" thickBot="1" x14ac:dyDescent="0.35">
      <c r="B26" s="317" t="s">
        <v>590</v>
      </c>
      <c r="C26" s="680"/>
      <c r="D26" s="680"/>
      <c r="E26" s="739" t="s">
        <v>114</v>
      </c>
      <c r="F26" s="346">
        <v>48000</v>
      </c>
      <c r="G26" s="693">
        <v>4</v>
      </c>
      <c r="H26" s="346">
        <f t="shared" si="0"/>
        <v>12000</v>
      </c>
      <c r="I26" s="325" t="s">
        <v>32</v>
      </c>
      <c r="J26" s="325" t="s">
        <v>32</v>
      </c>
      <c r="K26" s="687" t="s">
        <v>105</v>
      </c>
      <c r="L26" s="720" t="s">
        <v>419</v>
      </c>
      <c r="S26" s="768" t="s">
        <v>553</v>
      </c>
      <c r="T26" s="773">
        <f t="shared" si="1"/>
        <v>27626133.333333332</v>
      </c>
      <c r="U26" s="773">
        <v>186476400</v>
      </c>
      <c r="V26" s="781">
        <v>6.75</v>
      </c>
    </row>
    <row r="27" spans="1:22" x14ac:dyDescent="0.3">
      <c r="S27" s="768" t="s">
        <v>553</v>
      </c>
      <c r="T27" s="773">
        <f t="shared" si="1"/>
        <v>23169654.88850772</v>
      </c>
      <c r="U27" s="773">
        <v>135079088</v>
      </c>
      <c r="V27" s="781">
        <v>5.83</v>
      </c>
    </row>
    <row r="28" spans="1:22" x14ac:dyDescent="0.3">
      <c r="S28" s="768" t="s">
        <v>553</v>
      </c>
      <c r="T28" s="773">
        <f t="shared" si="1"/>
        <v>20890752.682255846</v>
      </c>
      <c r="U28" s="773">
        <v>151875772</v>
      </c>
      <c r="V28" s="781">
        <v>7.27</v>
      </c>
    </row>
    <row r="29" spans="1:22" ht="15" thickBot="1" x14ac:dyDescent="0.35">
      <c r="N29" s="762" t="s">
        <v>1315</v>
      </c>
      <c r="O29" s="731" t="s">
        <v>1290</v>
      </c>
      <c r="P29" s="731" t="s">
        <v>1286</v>
      </c>
      <c r="Q29" s="731" t="s">
        <v>1287</v>
      </c>
      <c r="S29" s="770" t="s">
        <v>553</v>
      </c>
      <c r="T29" s="782">
        <f t="shared" si="1"/>
        <v>20367475</v>
      </c>
      <c r="U29" s="782">
        <v>81469900</v>
      </c>
      <c r="V29" s="783">
        <v>4</v>
      </c>
    </row>
    <row r="30" spans="1:22" ht="28.2" thickBot="1" x14ac:dyDescent="0.35">
      <c r="A30" s="763" t="s">
        <v>1316</v>
      </c>
      <c r="B30" s="384" t="s">
        <v>261</v>
      </c>
      <c r="C30" s="385" t="s">
        <v>729</v>
      </c>
      <c r="D30" s="385" t="s">
        <v>730</v>
      </c>
      <c r="E30" s="385"/>
      <c r="F30" s="740" t="s">
        <v>1318</v>
      </c>
      <c r="G30" s="387" t="s">
        <v>12</v>
      </c>
      <c r="H30" s="740" t="s">
        <v>1281</v>
      </c>
      <c r="I30" s="388" t="s">
        <v>13</v>
      </c>
      <c r="J30" s="388" t="s">
        <v>14</v>
      </c>
      <c r="K30" s="388" t="s">
        <v>15</v>
      </c>
      <c r="L30" s="388" t="s">
        <v>15</v>
      </c>
      <c r="N30" s="760" t="s">
        <v>1316</v>
      </c>
      <c r="O30" s="732" t="s">
        <v>672</v>
      </c>
      <c r="P30" s="743">
        <v>13000000</v>
      </c>
      <c r="Q30" s="732" t="s">
        <v>1288</v>
      </c>
      <c r="S30" s="778" t="s">
        <v>1325</v>
      </c>
      <c r="T30" s="779">
        <f t="shared" si="1"/>
        <v>93789473.684210524</v>
      </c>
      <c r="U30" s="779">
        <v>178200000</v>
      </c>
      <c r="V30" s="780">
        <v>1.9</v>
      </c>
    </row>
    <row r="31" spans="1:22" ht="15" thickBot="1" x14ac:dyDescent="0.35">
      <c r="A31" s="750" t="s">
        <v>907</v>
      </c>
      <c r="B31" s="751" t="s">
        <v>313</v>
      </c>
      <c r="C31" s="752" t="s">
        <v>856</v>
      </c>
      <c r="D31" s="752" t="s">
        <v>857</v>
      </c>
      <c r="E31" s="752"/>
      <c r="F31" s="753" t="e">
        <f>VLOOKUP(A31,'MTP_lines-polygons'!E:P,12,FALSE)</f>
        <v>#N/A</v>
      </c>
      <c r="G31" s="754">
        <v>2.7517291973963069</v>
      </c>
      <c r="H31" s="753" t="e">
        <f t="shared" ref="H31:H60" si="3">F31/G31</f>
        <v>#N/A</v>
      </c>
      <c r="I31" s="755" t="s">
        <v>31</v>
      </c>
      <c r="J31" s="755" t="s">
        <v>273</v>
      </c>
      <c r="K31" s="756" t="s">
        <v>672</v>
      </c>
      <c r="L31" s="757" t="s">
        <v>1311</v>
      </c>
      <c r="N31" s="760" t="s">
        <v>1316</v>
      </c>
      <c r="O31" s="732" t="s">
        <v>343</v>
      </c>
      <c r="P31" s="743">
        <v>12000000</v>
      </c>
      <c r="Q31" s="732" t="s">
        <v>1288</v>
      </c>
      <c r="S31" s="768" t="s">
        <v>1325</v>
      </c>
      <c r="T31" s="773">
        <f t="shared" si="1"/>
        <v>65468468.468468472</v>
      </c>
      <c r="U31" s="773">
        <v>726700000</v>
      </c>
      <c r="V31" s="781">
        <v>11.1</v>
      </c>
    </row>
    <row r="32" spans="1:22" x14ac:dyDescent="0.3">
      <c r="A32" s="744" t="s">
        <v>904</v>
      </c>
      <c r="B32" s="38" t="s">
        <v>319</v>
      </c>
      <c r="C32" s="678" t="s">
        <v>536</v>
      </c>
      <c r="D32" s="678" t="s">
        <v>475</v>
      </c>
      <c r="E32" s="678"/>
      <c r="F32" s="192" t="e">
        <f>VLOOKUP(A32,'MTP_lines-polygons'!E:P,12,FALSE)</f>
        <v>#N/A</v>
      </c>
      <c r="G32" s="41">
        <v>0.85215013249388072</v>
      </c>
      <c r="H32" s="145" t="e">
        <f t="shared" si="3"/>
        <v>#N/A</v>
      </c>
      <c r="I32" s="39" t="s">
        <v>31</v>
      </c>
      <c r="J32" s="39" t="s">
        <v>273</v>
      </c>
      <c r="K32" s="51" t="s">
        <v>105</v>
      </c>
      <c r="L32" s="745" t="s">
        <v>1310</v>
      </c>
      <c r="N32" s="760" t="s">
        <v>1316</v>
      </c>
      <c r="O32" s="732" t="s">
        <v>1313</v>
      </c>
      <c r="P32" s="743">
        <v>9000000</v>
      </c>
      <c r="Q32" s="732" t="s">
        <v>1288</v>
      </c>
      <c r="S32" s="768" t="s">
        <v>1325</v>
      </c>
      <c r="T32" s="773">
        <f t="shared" si="1"/>
        <v>56538461.538461536</v>
      </c>
      <c r="U32" s="773">
        <v>220500000</v>
      </c>
      <c r="V32" s="781">
        <v>3.9</v>
      </c>
    </row>
    <row r="33" spans="1:22" x14ac:dyDescent="0.3">
      <c r="A33" s="746" t="s">
        <v>922</v>
      </c>
      <c r="B33" s="32" t="s">
        <v>287</v>
      </c>
      <c r="C33" s="142" t="s">
        <v>618</v>
      </c>
      <c r="D33" s="142" t="s">
        <v>970</v>
      </c>
      <c r="E33" s="142"/>
      <c r="F33" s="146">
        <f>VLOOKUP(A33,'MTP_lines-polygons'!E:P,12,FALSE)</f>
        <v>4560000</v>
      </c>
      <c r="G33" s="43">
        <v>0.44769845343678977</v>
      </c>
      <c r="H33" s="146">
        <f t="shared" si="3"/>
        <v>10185427.188758031</v>
      </c>
      <c r="I33" s="33" t="s">
        <v>31</v>
      </c>
      <c r="J33" s="33" t="s">
        <v>273</v>
      </c>
      <c r="K33" s="31" t="s">
        <v>105</v>
      </c>
      <c r="L33" s="747" t="s">
        <v>1310</v>
      </c>
      <c r="N33" s="760" t="s">
        <v>1316</v>
      </c>
      <c r="O33" s="732" t="s">
        <v>1309</v>
      </c>
      <c r="P33" s="743">
        <v>7000000</v>
      </c>
      <c r="Q33" s="732" t="s">
        <v>1288</v>
      </c>
      <c r="S33" s="768" t="s">
        <v>1325</v>
      </c>
      <c r="T33" s="773">
        <f t="shared" si="1"/>
        <v>46988721.804511279</v>
      </c>
      <c r="U33" s="773">
        <v>1249900000</v>
      </c>
      <c r="V33" s="781">
        <v>26.6</v>
      </c>
    </row>
    <row r="34" spans="1:22" x14ac:dyDescent="0.3">
      <c r="A34" s="746" t="s">
        <v>920</v>
      </c>
      <c r="B34" s="32" t="s">
        <v>974</v>
      </c>
      <c r="C34" s="142" t="s">
        <v>862</v>
      </c>
      <c r="D34" s="142" t="s">
        <v>728</v>
      </c>
      <c r="E34" s="142"/>
      <c r="F34" s="146">
        <f>VLOOKUP(A34,'MTP_lines-polygons'!E:P,12,FALSE)</f>
        <v>14819999.999999998</v>
      </c>
      <c r="G34" s="43">
        <v>1.6746651916226118</v>
      </c>
      <c r="H34" s="146">
        <f t="shared" si="3"/>
        <v>8849530.0876473375</v>
      </c>
      <c r="I34" s="33" t="s">
        <v>31</v>
      </c>
      <c r="J34" s="33" t="s">
        <v>273</v>
      </c>
      <c r="K34" s="31" t="s">
        <v>105</v>
      </c>
      <c r="L34" s="747" t="s">
        <v>1310</v>
      </c>
      <c r="N34" s="760" t="s">
        <v>1316</v>
      </c>
      <c r="O34" s="732" t="s">
        <v>74</v>
      </c>
      <c r="P34" s="764"/>
      <c r="Q34" s="732" t="s">
        <v>1288</v>
      </c>
      <c r="S34" s="768" t="s">
        <v>1325</v>
      </c>
      <c r="T34" s="773">
        <f t="shared" si="1"/>
        <v>41352941.176470593</v>
      </c>
      <c r="U34" s="773">
        <v>281200000</v>
      </c>
      <c r="V34" s="781">
        <v>6.8</v>
      </c>
    </row>
    <row r="35" spans="1:22" x14ac:dyDescent="0.3">
      <c r="A35" s="746" t="s">
        <v>921</v>
      </c>
      <c r="B35" s="32" t="s">
        <v>969</v>
      </c>
      <c r="C35" s="142" t="s">
        <v>614</v>
      </c>
      <c r="D35" s="142" t="s">
        <v>728</v>
      </c>
      <c r="E35" s="142"/>
      <c r="F35" s="146">
        <f>VLOOKUP(A35,'MTP_lines-polygons'!E:P,12,FALSE)</f>
        <v>12539999.999999998</v>
      </c>
      <c r="G35" s="43">
        <v>1.5265818626134149</v>
      </c>
      <c r="H35" s="146">
        <f t="shared" si="3"/>
        <v>8214430.0984503273</v>
      </c>
      <c r="I35" s="33" t="s">
        <v>31</v>
      </c>
      <c r="J35" s="33" t="s">
        <v>273</v>
      </c>
      <c r="K35" s="31" t="s">
        <v>105</v>
      </c>
      <c r="L35" s="747" t="s">
        <v>1310</v>
      </c>
      <c r="N35" s="760" t="s">
        <v>1316</v>
      </c>
      <c r="O35" s="732" t="s">
        <v>81</v>
      </c>
      <c r="P35" s="764"/>
      <c r="Q35" s="732" t="s">
        <v>1288</v>
      </c>
      <c r="S35" s="768" t="s">
        <v>1325</v>
      </c>
      <c r="T35" s="773">
        <f t="shared" si="1"/>
        <v>38650000</v>
      </c>
      <c r="U35" s="773">
        <v>77300000</v>
      </c>
      <c r="V35" s="781">
        <v>2</v>
      </c>
    </row>
    <row r="36" spans="1:22" x14ac:dyDescent="0.3">
      <c r="A36" s="746" t="s">
        <v>910</v>
      </c>
      <c r="B36" s="32" t="s">
        <v>731</v>
      </c>
      <c r="C36" s="142" t="s">
        <v>864</v>
      </c>
      <c r="D36" s="142" t="s">
        <v>865</v>
      </c>
      <c r="E36" s="142"/>
      <c r="F36" s="146">
        <f>VLOOKUP(A36,'MTP_lines-polygons'!E:P,12,FALSE)</f>
        <v>10260000</v>
      </c>
      <c r="G36" s="43">
        <v>1.4480544234593939</v>
      </c>
      <c r="H36" s="146">
        <f t="shared" si="3"/>
        <v>7085369.0536636859</v>
      </c>
      <c r="I36" s="33" t="s">
        <v>31</v>
      </c>
      <c r="J36" s="33" t="s">
        <v>273</v>
      </c>
      <c r="K36" s="31" t="s">
        <v>105</v>
      </c>
      <c r="L36" s="747" t="s">
        <v>1310</v>
      </c>
      <c r="N36" s="760" t="s">
        <v>1316</v>
      </c>
      <c r="O36" s="732" t="s">
        <v>237</v>
      </c>
      <c r="P36" s="743">
        <v>1000000</v>
      </c>
      <c r="Q36" s="732" t="s">
        <v>237</v>
      </c>
      <c r="S36" s="768" t="s">
        <v>1325</v>
      </c>
      <c r="T36" s="773">
        <f t="shared" si="1"/>
        <v>37923076.92307692</v>
      </c>
      <c r="U36" s="773">
        <v>197200000</v>
      </c>
      <c r="V36" s="781">
        <v>5.2</v>
      </c>
    </row>
    <row r="37" spans="1:22" x14ac:dyDescent="0.3">
      <c r="A37" s="746" t="s">
        <v>908</v>
      </c>
      <c r="B37" s="32" t="s">
        <v>311</v>
      </c>
      <c r="C37" s="142" t="s">
        <v>736</v>
      </c>
      <c r="D37" s="142" t="s">
        <v>785</v>
      </c>
      <c r="E37" s="142"/>
      <c r="F37" s="146">
        <f>VLOOKUP(A37,'MTP_lines-polygons'!E:P,12,FALSE)</f>
        <v>12539999.999999998</v>
      </c>
      <c r="G37" s="43">
        <v>1.7902595445076592</v>
      </c>
      <c r="H37" s="146">
        <f t="shared" si="3"/>
        <v>7004570.9508833447</v>
      </c>
      <c r="I37" s="33" t="s">
        <v>31</v>
      </c>
      <c r="J37" s="33" t="s">
        <v>273</v>
      </c>
      <c r="K37" s="31" t="s">
        <v>105</v>
      </c>
      <c r="L37" s="747" t="s">
        <v>1310</v>
      </c>
      <c r="S37" s="768" t="s">
        <v>1325</v>
      </c>
      <c r="T37" s="773">
        <f t="shared" si="1"/>
        <v>29720000</v>
      </c>
      <c r="U37" s="773">
        <v>74300000</v>
      </c>
      <c r="V37" s="781">
        <v>2.5</v>
      </c>
    </row>
    <row r="38" spans="1:22" x14ac:dyDescent="0.3">
      <c r="A38" s="746" t="s">
        <v>923</v>
      </c>
      <c r="B38" s="32" t="s">
        <v>972</v>
      </c>
      <c r="C38" s="142" t="s">
        <v>728</v>
      </c>
      <c r="D38" s="142" t="s">
        <v>855</v>
      </c>
      <c r="E38" s="142"/>
      <c r="F38" s="146">
        <f>VLOOKUP(A38,'MTP_lines-polygons'!E:P,12,FALSE)</f>
        <v>3000000</v>
      </c>
      <c r="G38" s="43">
        <v>0.79629176393840906</v>
      </c>
      <c r="H38" s="146">
        <f t="shared" si="3"/>
        <v>3767463.3041062593</v>
      </c>
      <c r="I38" s="33" t="s">
        <v>31</v>
      </c>
      <c r="J38" s="33" t="s">
        <v>273</v>
      </c>
      <c r="K38" s="31" t="s">
        <v>105</v>
      </c>
      <c r="L38" s="747" t="s">
        <v>1310</v>
      </c>
      <c r="S38" s="768" t="s">
        <v>1325</v>
      </c>
      <c r="T38" s="773">
        <f t="shared" si="1"/>
        <v>23333333.333333332</v>
      </c>
      <c r="U38" s="773">
        <v>21000000</v>
      </c>
      <c r="V38" s="781">
        <v>0.9</v>
      </c>
    </row>
    <row r="39" spans="1:22" x14ac:dyDescent="0.3">
      <c r="A39" s="746" t="s">
        <v>919</v>
      </c>
      <c r="B39" s="32" t="s">
        <v>1084</v>
      </c>
      <c r="C39" s="142" t="s">
        <v>794</v>
      </c>
      <c r="D39" s="142" t="s">
        <v>656</v>
      </c>
      <c r="E39" s="142"/>
      <c r="F39" s="146">
        <f>VLOOKUP(A39,'MTP_lines-polygons'!E:P,12,FALSE)</f>
        <v>6839999.9999999991</v>
      </c>
      <c r="G39" s="43">
        <v>1.2406098498388862</v>
      </c>
      <c r="H39" s="146">
        <f t="shared" si="3"/>
        <v>5513417.4542369517</v>
      </c>
      <c r="I39" s="33" t="s">
        <v>31</v>
      </c>
      <c r="J39" s="33" t="s">
        <v>273</v>
      </c>
      <c r="K39" s="31" t="s">
        <v>105</v>
      </c>
      <c r="L39" s="747" t="s">
        <v>1310</v>
      </c>
      <c r="S39" s="768" t="s">
        <v>1325</v>
      </c>
      <c r="T39" s="773">
        <f t="shared" si="1"/>
        <v>22666666.666666668</v>
      </c>
      <c r="U39" s="773">
        <v>6800000</v>
      </c>
      <c r="V39" s="781">
        <v>0.3</v>
      </c>
    </row>
    <row r="40" spans="1:22" x14ac:dyDescent="0.3">
      <c r="A40" s="746" t="s">
        <v>909</v>
      </c>
      <c r="B40" s="131" t="s">
        <v>309</v>
      </c>
      <c r="C40" s="413" t="s">
        <v>621</v>
      </c>
      <c r="D40" s="413" t="s">
        <v>845</v>
      </c>
      <c r="E40" s="413"/>
      <c r="F40" s="146" t="e">
        <f>VLOOKUP(A40,'MTP_lines-polygons'!E:P,12,FALSE)</f>
        <v>#N/A</v>
      </c>
      <c r="G40" s="415">
        <v>3.4753108347628214</v>
      </c>
      <c r="H40" s="146" t="e">
        <f t="shared" si="3"/>
        <v>#N/A</v>
      </c>
      <c r="I40" s="136" t="s">
        <v>31</v>
      </c>
      <c r="J40" s="136" t="s">
        <v>273</v>
      </c>
      <c r="K40" s="416" t="s">
        <v>105</v>
      </c>
      <c r="L40" s="747" t="s">
        <v>1310</v>
      </c>
      <c r="S40" s="768" t="s">
        <v>1325</v>
      </c>
      <c r="T40" s="773">
        <f t="shared" si="1"/>
        <v>21175925.925925925</v>
      </c>
      <c r="U40" s="773">
        <v>228700000</v>
      </c>
      <c r="V40" s="781">
        <v>10.8</v>
      </c>
    </row>
    <row r="41" spans="1:22" x14ac:dyDescent="0.3">
      <c r="A41" s="746" t="s">
        <v>911</v>
      </c>
      <c r="B41" s="32" t="s">
        <v>303</v>
      </c>
      <c r="C41" s="142" t="s">
        <v>747</v>
      </c>
      <c r="D41" s="413" t="s">
        <v>851</v>
      </c>
      <c r="E41" s="413"/>
      <c r="F41" s="146">
        <f>VLOOKUP(A41,'MTP_lines-polygons'!E:P,12,FALSE)</f>
        <v>25079999.999999996</v>
      </c>
      <c r="G41" s="43">
        <v>9.5153078530303041</v>
      </c>
      <c r="H41" s="146">
        <f t="shared" si="3"/>
        <v>2635752.8718330287</v>
      </c>
      <c r="I41" s="33" t="s">
        <v>31</v>
      </c>
      <c r="J41" s="33" t="s">
        <v>273</v>
      </c>
      <c r="K41" s="31" t="s">
        <v>105</v>
      </c>
      <c r="L41" s="747" t="s">
        <v>1310</v>
      </c>
      <c r="S41" s="768" t="s">
        <v>1325</v>
      </c>
      <c r="T41" s="773">
        <f t="shared" si="1"/>
        <v>21172131.147540987</v>
      </c>
      <c r="U41" s="773">
        <v>258300000</v>
      </c>
      <c r="V41" s="781">
        <v>12.2</v>
      </c>
    </row>
    <row r="42" spans="1:22" x14ac:dyDescent="0.3">
      <c r="A42" s="746" t="s">
        <v>917</v>
      </c>
      <c r="B42" s="32" t="s">
        <v>293</v>
      </c>
      <c r="C42" s="142" t="s">
        <v>621</v>
      </c>
      <c r="D42" s="142" t="s">
        <v>884</v>
      </c>
      <c r="E42" s="142"/>
      <c r="F42" s="146">
        <f>VLOOKUP(A42,'MTP_lines-polygons'!E:P,12,FALSE)</f>
        <v>13679999.999999998</v>
      </c>
      <c r="G42" s="43">
        <v>5.5872530596597727</v>
      </c>
      <c r="H42" s="146">
        <f t="shared" si="3"/>
        <v>2448430.3563714046</v>
      </c>
      <c r="I42" s="33" t="s">
        <v>31</v>
      </c>
      <c r="J42" s="33" t="s">
        <v>273</v>
      </c>
      <c r="K42" s="31" t="s">
        <v>105</v>
      </c>
      <c r="L42" s="747" t="s">
        <v>1310</v>
      </c>
      <c r="S42" s="768" t="s">
        <v>1325</v>
      </c>
      <c r="T42" s="773">
        <f t="shared" si="1"/>
        <v>20833333.333333332</v>
      </c>
      <c r="U42" s="773">
        <v>37500000</v>
      </c>
      <c r="V42" s="781">
        <v>1.8</v>
      </c>
    </row>
    <row r="43" spans="1:22" ht="15" thickBot="1" x14ac:dyDescent="0.35">
      <c r="A43" s="748" t="s">
        <v>905</v>
      </c>
      <c r="B43" s="40" t="s">
        <v>317</v>
      </c>
      <c r="C43" s="318" t="s">
        <v>475</v>
      </c>
      <c r="D43" s="318" t="s">
        <v>624</v>
      </c>
      <c r="E43" s="318"/>
      <c r="F43" s="147" t="e">
        <f>VLOOKUP(A43,'MTP_lines-polygons'!E:P,12,FALSE)</f>
        <v>#N/A</v>
      </c>
      <c r="G43" s="45">
        <v>2.0677719232510037</v>
      </c>
      <c r="H43" s="147" t="e">
        <f t="shared" si="3"/>
        <v>#N/A</v>
      </c>
      <c r="I43" s="523" t="s">
        <v>31</v>
      </c>
      <c r="J43" s="523" t="s">
        <v>273</v>
      </c>
      <c r="K43" s="52" t="s">
        <v>105</v>
      </c>
      <c r="L43" s="749" t="s">
        <v>1310</v>
      </c>
      <c r="S43" s="768" t="s">
        <v>1325</v>
      </c>
      <c r="T43" s="773">
        <f t="shared" si="1"/>
        <v>20260416.666666668</v>
      </c>
      <c r="U43" s="773">
        <v>389000000</v>
      </c>
      <c r="V43" s="781">
        <v>19.2</v>
      </c>
    </row>
    <row r="44" spans="1:22" x14ac:dyDescent="0.3">
      <c r="A44" s="746" t="s">
        <v>1131</v>
      </c>
      <c r="B44" s="32" t="s">
        <v>1034</v>
      </c>
      <c r="C44" s="142" t="s">
        <v>1032</v>
      </c>
      <c r="D44" s="142" t="s">
        <v>1033</v>
      </c>
      <c r="E44" s="142"/>
      <c r="F44" s="192">
        <f>VLOOKUP(A44,'MTP_lines-polygons'!E:P,12,FALSE)</f>
        <v>13383933.204375001</v>
      </c>
      <c r="G44" s="43">
        <v>0.48971539204545456</v>
      </c>
      <c r="H44" s="146">
        <f t="shared" si="3"/>
        <v>27330023.564243466</v>
      </c>
      <c r="I44" s="33" t="s">
        <v>31</v>
      </c>
      <c r="J44" s="33" t="s">
        <v>343</v>
      </c>
      <c r="K44" s="31" t="s">
        <v>343</v>
      </c>
      <c r="L44" s="747" t="s">
        <v>1306</v>
      </c>
      <c r="S44" s="768" t="s">
        <v>1325</v>
      </c>
      <c r="T44" s="773">
        <f t="shared" si="1"/>
        <v>19250000</v>
      </c>
      <c r="U44" s="773">
        <v>7700000</v>
      </c>
      <c r="V44" s="781">
        <v>0.4</v>
      </c>
    </row>
    <row r="45" spans="1:22" x14ac:dyDescent="0.3">
      <c r="A45" s="746" t="s">
        <v>941</v>
      </c>
      <c r="B45" s="32" t="s">
        <v>354</v>
      </c>
      <c r="C45" s="142" t="s">
        <v>879</v>
      </c>
      <c r="D45" s="142" t="s">
        <v>878</v>
      </c>
      <c r="E45" s="142"/>
      <c r="F45" s="146">
        <f>VLOOKUP(A45,'MTP_lines-polygons'!E:P,12,FALSE)</f>
        <v>1758925.9734750001</v>
      </c>
      <c r="G45" s="43">
        <v>2.1482655325303028</v>
      </c>
      <c r="H45" s="146">
        <f t="shared" si="3"/>
        <v>818765.62596211059</v>
      </c>
      <c r="I45" s="33" t="s">
        <v>31</v>
      </c>
      <c r="J45" s="33" t="s">
        <v>343</v>
      </c>
      <c r="K45" s="31" t="s">
        <v>343</v>
      </c>
      <c r="L45" s="747" t="s">
        <v>1306</v>
      </c>
      <c r="S45" s="768" t="s">
        <v>1325</v>
      </c>
      <c r="T45" s="773">
        <f t="shared" si="1"/>
        <v>17542079.207920793</v>
      </c>
      <c r="U45" s="773">
        <v>35435000</v>
      </c>
      <c r="V45" s="781">
        <v>2.02</v>
      </c>
    </row>
    <row r="46" spans="1:22" x14ac:dyDescent="0.3">
      <c r="A46" s="746" t="s">
        <v>942</v>
      </c>
      <c r="B46" s="32" t="s">
        <v>1132</v>
      </c>
      <c r="C46" s="142" t="s">
        <v>880</v>
      </c>
      <c r="D46" s="142" t="s">
        <v>881</v>
      </c>
      <c r="E46" s="142"/>
      <c r="F46" s="146">
        <f>VLOOKUP(A46,'MTP_lines-polygons'!E:P,12,FALSE)</f>
        <v>14633039.295000002</v>
      </c>
      <c r="G46" s="43">
        <v>3.8771402353382007</v>
      </c>
      <c r="H46" s="146">
        <f t="shared" si="3"/>
        <v>3774183.6525868066</v>
      </c>
      <c r="I46" s="33" t="s">
        <v>31</v>
      </c>
      <c r="J46" s="33" t="s">
        <v>343</v>
      </c>
      <c r="K46" s="31" t="s">
        <v>343</v>
      </c>
      <c r="L46" s="747" t="s">
        <v>1306</v>
      </c>
      <c r="S46" s="768" t="s">
        <v>1325</v>
      </c>
      <c r="T46" s="773">
        <f t="shared" si="1"/>
        <v>14300000</v>
      </c>
      <c r="U46" s="773">
        <v>14300000</v>
      </c>
      <c r="V46" s="781">
        <v>1</v>
      </c>
    </row>
    <row r="47" spans="1:22" x14ac:dyDescent="0.3">
      <c r="A47" s="746" t="s">
        <v>940</v>
      </c>
      <c r="B47" s="32" t="s">
        <v>350</v>
      </c>
      <c r="C47" s="142" t="s">
        <v>868</v>
      </c>
      <c r="D47" s="142" t="s">
        <v>614</v>
      </c>
      <c r="E47" s="142"/>
      <c r="F47" s="146">
        <f>VLOOKUP(A47,'MTP_lines-polygons'!E:P,12,FALSE)</f>
        <v>250000</v>
      </c>
      <c r="G47" s="43">
        <v>2.1105173571066667</v>
      </c>
      <c r="H47" s="146">
        <f t="shared" si="3"/>
        <v>118454.36814730961</v>
      </c>
      <c r="I47" s="33" t="s">
        <v>57</v>
      </c>
      <c r="J47" s="33" t="s">
        <v>343</v>
      </c>
      <c r="K47" s="31" t="s">
        <v>343</v>
      </c>
      <c r="L47" s="747" t="s">
        <v>1306</v>
      </c>
      <c r="S47" s="768" t="s">
        <v>1325</v>
      </c>
      <c r="T47" s="773">
        <f t="shared" si="1"/>
        <v>12162790.69767442</v>
      </c>
      <c r="U47" s="773">
        <v>104600000</v>
      </c>
      <c r="V47" s="781">
        <v>8.6</v>
      </c>
    </row>
    <row r="48" spans="1:22" ht="15" thickBot="1" x14ac:dyDescent="0.35">
      <c r="A48" s="748" t="s">
        <v>938</v>
      </c>
      <c r="B48" s="40" t="s">
        <v>337</v>
      </c>
      <c r="C48" s="143" t="s">
        <v>854</v>
      </c>
      <c r="D48" s="758" t="s">
        <v>376</v>
      </c>
      <c r="E48" s="758"/>
      <c r="F48" s="147">
        <f>VLOOKUP(A48,'MTP_lines-polygons'!E:P,12,FALSE)</f>
        <v>20520000</v>
      </c>
      <c r="G48" s="558" t="s">
        <v>376</v>
      </c>
      <c r="H48" s="147" t="e">
        <f t="shared" si="3"/>
        <v>#VALUE!</v>
      </c>
      <c r="I48" s="523" t="s">
        <v>31</v>
      </c>
      <c r="J48" s="523" t="s">
        <v>847</v>
      </c>
      <c r="K48" s="52" t="s">
        <v>573</v>
      </c>
      <c r="L48" s="749" t="s">
        <v>1308</v>
      </c>
      <c r="S48" s="770" t="s">
        <v>1325</v>
      </c>
      <c r="T48" s="782">
        <f t="shared" si="1"/>
        <v>6818181.8181818174</v>
      </c>
      <c r="U48" s="782">
        <v>15000000</v>
      </c>
      <c r="V48" s="783">
        <v>2.2000000000000002</v>
      </c>
    </row>
    <row r="49" spans="1:22" x14ac:dyDescent="0.3">
      <c r="A49" s="744" t="s">
        <v>945</v>
      </c>
      <c r="B49" s="38" t="s">
        <v>356</v>
      </c>
      <c r="C49" s="141" t="s">
        <v>874</v>
      </c>
      <c r="D49" s="141" t="s">
        <v>875</v>
      </c>
      <c r="E49" s="141"/>
      <c r="F49" s="192">
        <f>VLOOKUP(A49,'MTP_lines-polygons'!E:P,12,FALSE)</f>
        <v>74265490.299992934</v>
      </c>
      <c r="G49" s="41">
        <v>2.7537734151786362</v>
      </c>
      <c r="H49" s="145">
        <f t="shared" si="3"/>
        <v>26968627.807446301</v>
      </c>
      <c r="I49" s="39" t="s">
        <v>48</v>
      </c>
      <c r="J49" s="39" t="s">
        <v>343</v>
      </c>
      <c r="K49" s="51" t="s">
        <v>1155</v>
      </c>
      <c r="L49" s="745" t="s">
        <v>1307</v>
      </c>
      <c r="S49" s="775"/>
      <c r="T49" s="776"/>
      <c r="U49" s="776"/>
      <c r="V49" s="777"/>
    </row>
    <row r="50" spans="1:22" x14ac:dyDescent="0.3">
      <c r="A50" s="746" t="s">
        <v>946</v>
      </c>
      <c r="B50" s="32" t="s">
        <v>352</v>
      </c>
      <c r="C50" s="142" t="s">
        <v>875</v>
      </c>
      <c r="D50" s="142" t="s">
        <v>877</v>
      </c>
      <c r="E50" s="142"/>
      <c r="F50" s="146">
        <f>VLOOKUP(A50,'MTP_lines-polygons'!E:P,12,FALSE)</f>
        <v>7089873.2843747754</v>
      </c>
      <c r="G50" s="43">
        <v>6.2126916664373297</v>
      </c>
      <c r="H50" s="146">
        <f t="shared" si="3"/>
        <v>1141191.8802724788</v>
      </c>
      <c r="I50" s="33" t="s">
        <v>48</v>
      </c>
      <c r="J50" s="33" t="s">
        <v>343</v>
      </c>
      <c r="K50" s="31" t="s">
        <v>1155</v>
      </c>
      <c r="L50" s="747" t="s">
        <v>1307</v>
      </c>
      <c r="S50" s="426"/>
      <c r="T50" s="773"/>
      <c r="U50" s="773"/>
      <c r="V50" s="774"/>
    </row>
    <row r="51" spans="1:22" x14ac:dyDescent="0.3">
      <c r="A51" s="746" t="s">
        <v>925</v>
      </c>
      <c r="B51" s="35" t="s">
        <v>281</v>
      </c>
      <c r="C51" s="142" t="s">
        <v>547</v>
      </c>
      <c r="D51" s="142" t="s">
        <v>859</v>
      </c>
      <c r="E51" s="142"/>
      <c r="F51" s="146">
        <f>VLOOKUP(A51,'MTP_lines-polygons'!E:P,12,FALSE)</f>
        <v>7979999.9999999991</v>
      </c>
      <c r="G51" s="43">
        <v>1.2851163744993996</v>
      </c>
      <c r="H51" s="146">
        <f t="shared" si="3"/>
        <v>6209554.3705981523</v>
      </c>
      <c r="I51" s="33" t="s">
        <v>57</v>
      </c>
      <c r="J51" s="33" t="s">
        <v>273</v>
      </c>
      <c r="K51" s="31" t="s">
        <v>968</v>
      </c>
      <c r="L51" s="747" t="s">
        <v>1312</v>
      </c>
      <c r="S51" s="426"/>
      <c r="T51" s="773"/>
      <c r="U51" s="773"/>
      <c r="V51" s="774"/>
    </row>
    <row r="52" spans="1:22" x14ac:dyDescent="0.3">
      <c r="A52" s="746" t="s">
        <v>915</v>
      </c>
      <c r="B52" s="32" t="s">
        <v>297</v>
      </c>
      <c r="C52" s="142" t="s">
        <v>862</v>
      </c>
      <c r="D52" s="142" t="s">
        <v>781</v>
      </c>
      <c r="E52" s="142"/>
      <c r="F52" s="146">
        <f>VLOOKUP(A52,'MTP_lines-polygons'!E:P,12,FALSE)</f>
        <v>4560000</v>
      </c>
      <c r="G52" s="43">
        <v>1.8453751116667727</v>
      </c>
      <c r="H52" s="146">
        <f t="shared" si="3"/>
        <v>2471042.3215155071</v>
      </c>
      <c r="I52" s="33" t="s">
        <v>57</v>
      </c>
      <c r="J52" s="33" t="s">
        <v>273</v>
      </c>
      <c r="K52" s="31" t="s">
        <v>968</v>
      </c>
      <c r="L52" s="747" t="s">
        <v>863</v>
      </c>
    </row>
    <row r="53" spans="1:22" x14ac:dyDescent="0.3">
      <c r="A53" s="746" t="s">
        <v>926</v>
      </c>
      <c r="B53" s="32" t="s">
        <v>596</v>
      </c>
      <c r="C53" s="142" t="s">
        <v>786</v>
      </c>
      <c r="D53" s="142" t="s">
        <v>872</v>
      </c>
      <c r="E53" s="142"/>
      <c r="F53" s="146">
        <f>VLOOKUP(A53,'MTP_lines-polygons'!E:P,12,FALSE)</f>
        <v>2188704.7774858274</v>
      </c>
      <c r="G53" s="43">
        <v>0.13106060606060607</v>
      </c>
      <c r="H53" s="146">
        <f t="shared" si="3"/>
        <v>16699943.966943884</v>
      </c>
      <c r="I53" s="33" t="s">
        <v>57</v>
      </c>
      <c r="J53" s="33" t="s">
        <v>273</v>
      </c>
      <c r="K53" s="31" t="s">
        <v>968</v>
      </c>
      <c r="L53" s="747" t="s">
        <v>81</v>
      </c>
    </row>
    <row r="54" spans="1:22" ht="15" thickBot="1" x14ac:dyDescent="0.35">
      <c r="A54" s="748" t="s">
        <v>927</v>
      </c>
      <c r="B54" s="40" t="s">
        <v>277</v>
      </c>
      <c r="C54" s="143" t="s">
        <v>869</v>
      </c>
      <c r="D54" s="143" t="s">
        <v>870</v>
      </c>
      <c r="E54" s="143"/>
      <c r="F54" s="147">
        <f>VLOOKUP(A54,'MTP_lines-polygons'!E:P,12,FALSE)</f>
        <v>1140000</v>
      </c>
      <c r="G54" s="45">
        <v>2.148706167117159</v>
      </c>
      <c r="H54" s="147">
        <f t="shared" si="3"/>
        <v>530551.83507454465</v>
      </c>
      <c r="I54" s="523" t="s">
        <v>48</v>
      </c>
      <c r="J54" s="523" t="s">
        <v>273</v>
      </c>
      <c r="K54" s="52" t="s">
        <v>48</v>
      </c>
      <c r="L54" s="749" t="s">
        <v>48</v>
      </c>
    </row>
    <row r="55" spans="1:22" x14ac:dyDescent="0.3">
      <c r="A55" s="744" t="s">
        <v>906</v>
      </c>
      <c r="B55" s="38" t="s">
        <v>315</v>
      </c>
      <c r="C55" s="141" t="s">
        <v>728</v>
      </c>
      <c r="D55" s="141" t="s">
        <v>732</v>
      </c>
      <c r="E55" s="141"/>
      <c r="F55" s="192">
        <f>VLOOKUP(A55,'MTP_lines-polygons'!E:P,12,FALSE)</f>
        <v>13679999.999999998</v>
      </c>
      <c r="G55" s="41">
        <v>1.5615947267668751</v>
      </c>
      <c r="H55" s="145">
        <f t="shared" si="3"/>
        <v>8760275.4834623858</v>
      </c>
      <c r="I55" s="39" t="s">
        <v>31</v>
      </c>
      <c r="J55" s="39" t="s">
        <v>273</v>
      </c>
      <c r="K55" s="51" t="s">
        <v>116</v>
      </c>
      <c r="L55" s="745" t="s">
        <v>1309</v>
      </c>
    </row>
    <row r="56" spans="1:22" x14ac:dyDescent="0.3">
      <c r="A56" s="746" t="s">
        <v>913</v>
      </c>
      <c r="B56" s="32" t="s">
        <v>593</v>
      </c>
      <c r="C56" s="142" t="s">
        <v>955</v>
      </c>
      <c r="D56" s="142" t="s">
        <v>956</v>
      </c>
      <c r="E56" s="142"/>
      <c r="F56" s="146">
        <f>VLOOKUP(A56,'MTP_lines-polygons'!E:P,12,FALSE)</f>
        <v>17100000</v>
      </c>
      <c r="G56" s="43">
        <v>2.2878296030726704</v>
      </c>
      <c r="H56" s="146">
        <f t="shared" si="3"/>
        <v>7474332.86859906</v>
      </c>
      <c r="I56" s="33" t="s">
        <v>31</v>
      </c>
      <c r="J56" s="33" t="s">
        <v>273</v>
      </c>
      <c r="K56" s="31" t="s">
        <v>116</v>
      </c>
      <c r="L56" s="747" t="s">
        <v>1309</v>
      </c>
    </row>
    <row r="57" spans="1:22" x14ac:dyDescent="0.3">
      <c r="A57" s="746" t="s">
        <v>918</v>
      </c>
      <c r="B57" s="32" t="s">
        <v>595</v>
      </c>
      <c r="C57" s="142" t="s">
        <v>866</v>
      </c>
      <c r="D57" s="142" t="s">
        <v>867</v>
      </c>
      <c r="E57" s="142"/>
      <c r="F57" s="146">
        <f>VLOOKUP(A57,'MTP_lines-polygons'!E:P,12,FALSE)</f>
        <v>10260000</v>
      </c>
      <c r="G57" s="43">
        <v>2.3431739657337878</v>
      </c>
      <c r="H57" s="146">
        <f t="shared" si="3"/>
        <v>4378676.167472261</v>
      </c>
      <c r="I57" s="33" t="s">
        <v>31</v>
      </c>
      <c r="J57" s="33" t="s">
        <v>273</v>
      </c>
      <c r="K57" s="31" t="s">
        <v>116</v>
      </c>
      <c r="L57" s="747" t="s">
        <v>1309</v>
      </c>
    </row>
    <row r="58" spans="1:22" x14ac:dyDescent="0.3">
      <c r="A58" s="746" t="s">
        <v>914</v>
      </c>
      <c r="B58" s="32" t="s">
        <v>594</v>
      </c>
      <c r="C58" s="142" t="s">
        <v>957</v>
      </c>
      <c r="D58" s="403" t="s">
        <v>376</v>
      </c>
      <c r="E58" s="403"/>
      <c r="F58" s="146">
        <f>VLOOKUP(A58,'MTP_lines-polygons'!E:P,12,FALSE)</f>
        <v>4560000</v>
      </c>
      <c r="G58" s="43">
        <v>1.0512905916953408</v>
      </c>
      <c r="H58" s="146">
        <f t="shared" si="3"/>
        <v>4337525.7383844899</v>
      </c>
      <c r="I58" s="33" t="s">
        <v>31</v>
      </c>
      <c r="J58" s="33" t="s">
        <v>273</v>
      </c>
      <c r="K58" s="31" t="s">
        <v>116</v>
      </c>
      <c r="L58" s="747" t="s">
        <v>1309</v>
      </c>
    </row>
    <row r="59" spans="1:22" x14ac:dyDescent="0.3">
      <c r="A59" s="746" t="s">
        <v>924</v>
      </c>
      <c r="B59" s="32" t="s">
        <v>283</v>
      </c>
      <c r="C59" s="142" t="s">
        <v>855</v>
      </c>
      <c r="D59" s="142" t="s">
        <v>994</v>
      </c>
      <c r="E59" s="142"/>
      <c r="F59" s="146">
        <f>VLOOKUP(A59,'MTP_lines-polygons'!E:P,12,FALSE)</f>
        <v>6839999.9999999991</v>
      </c>
      <c r="G59" s="43">
        <v>1.793560606060606</v>
      </c>
      <c r="H59" s="146">
        <f t="shared" si="3"/>
        <v>3813643.08342133</v>
      </c>
      <c r="I59" s="33" t="s">
        <v>31</v>
      </c>
      <c r="J59" s="33" t="s">
        <v>273</v>
      </c>
      <c r="K59" s="31" t="s">
        <v>116</v>
      </c>
      <c r="L59" s="747" t="s">
        <v>1309</v>
      </c>
    </row>
    <row r="60" spans="1:22" ht="15" thickBot="1" x14ac:dyDescent="0.35">
      <c r="A60" s="748" t="s">
        <v>916</v>
      </c>
      <c r="B60" s="40" t="s">
        <v>295</v>
      </c>
      <c r="C60" s="143" t="s">
        <v>781</v>
      </c>
      <c r="D60" s="143" t="s">
        <v>873</v>
      </c>
      <c r="E60" s="143"/>
      <c r="F60" s="147">
        <f>VLOOKUP(A60,'MTP_lines-polygons'!E:P,12,FALSE)</f>
        <v>5699999.9999999991</v>
      </c>
      <c r="G60" s="45">
        <v>1.5911881092823106</v>
      </c>
      <c r="H60" s="147">
        <f t="shared" si="3"/>
        <v>3582228.8808900961</v>
      </c>
      <c r="I60" s="523" t="s">
        <v>31</v>
      </c>
      <c r="J60" s="523" t="s">
        <v>273</v>
      </c>
      <c r="K60" s="52" t="s">
        <v>116</v>
      </c>
      <c r="L60" s="749" t="s">
        <v>1309</v>
      </c>
    </row>
  </sheetData>
  <sortState xmlns:xlrd2="http://schemas.microsoft.com/office/spreadsheetml/2017/richdata2" ref="S10:V48">
    <sortCondition ref="S10:S48"/>
    <sortCondition descending="1" ref="T10:T48"/>
  </sortState>
  <conditionalFormatting sqref="B6:B7 D6:G7 B2:G5 B8:G26 I2:L26 A31:L31 B30:L30 A46:E60 G46:L60 A32:E43 G32:L43 F32:F60">
    <cfRule type="expression" dxfId="44" priority="186">
      <formula>MOD(ROW(),2)=0</formula>
    </cfRule>
  </conditionalFormatting>
  <conditionalFormatting sqref="C6">
    <cfRule type="expression" dxfId="43" priority="98">
      <formula>MOD(ROW(),2)=0</formula>
    </cfRule>
  </conditionalFormatting>
  <conditionalFormatting sqref="C7">
    <cfRule type="expression" dxfId="42" priority="97">
      <formula>MOD(ROW(),2)=0</formula>
    </cfRule>
  </conditionalFormatting>
  <conditionalFormatting sqref="D9">
    <cfRule type="expression" dxfId="41" priority="96">
      <formula>MOD(ROW(),2)=0</formula>
    </cfRule>
  </conditionalFormatting>
  <conditionalFormatting sqref="H3:H6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:H20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:H25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:E31">
    <cfRule type="expression" dxfId="40" priority="88">
      <formula>MOD(ROW(),2)=0</formula>
    </cfRule>
  </conditionalFormatting>
  <conditionalFormatting sqref="C32:E32">
    <cfRule type="expression" dxfId="39" priority="86">
      <formula>MOD(ROW(),2)=0</formula>
    </cfRule>
  </conditionalFormatting>
  <conditionalFormatting sqref="I56:I57">
    <cfRule type="expression" dxfId="38" priority="66">
      <formula>MOD(ROW(),2)=0</formula>
    </cfRule>
  </conditionalFormatting>
  <conditionalFormatting sqref="J59:J60">
    <cfRule type="expression" dxfId="37" priority="65">
      <formula>MOD(ROW(),2)=0</formula>
    </cfRule>
  </conditionalFormatting>
  <conditionalFormatting sqref="H31:H43 H46:H60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5:E45 G45:L45 L44">
    <cfRule type="expression" dxfId="36" priority="15">
      <formula>MOD(ROW(),2)=0</formula>
    </cfRule>
  </conditionalFormatting>
  <conditionalFormatting sqref="H45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 E44 G44:H44">
    <cfRule type="expression" dxfId="35" priority="13">
      <formula>MOD(ROW(),2)=0</formula>
    </cfRule>
  </conditionalFormatting>
  <conditionalFormatting sqref="H4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">
    <cfRule type="expression" dxfId="34" priority="11">
      <formula>MOD(ROW(),2)=0</formula>
    </cfRule>
  </conditionalFormatting>
  <conditionalFormatting sqref="B44">
    <cfRule type="expression" dxfId="33" priority="10">
      <formula>MOD(ROW(),2)=0</formula>
    </cfRule>
  </conditionalFormatting>
  <conditionalFormatting sqref="C44:D44">
    <cfRule type="expression" dxfId="32" priority="9">
      <formula>MOD(ROW(),2)=0</formula>
    </cfRule>
  </conditionalFormatting>
  <conditionalFormatting sqref="C44:D44">
    <cfRule type="expression" dxfId="31" priority="8">
      <formula>MOD(ROW(),2)=0</formula>
    </cfRule>
  </conditionalFormatting>
  <conditionalFormatting sqref="H31:H6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4">
    <cfRule type="expression" dxfId="30" priority="6">
      <formula>MOD(ROW(),2)=0</formula>
    </cfRule>
  </conditionalFormatting>
  <conditionalFormatting sqref="J44">
    <cfRule type="expression" dxfId="29" priority="5">
      <formula>MOD(ROW(),2)=0</formula>
    </cfRule>
  </conditionalFormatting>
  <conditionalFormatting sqref="I44">
    <cfRule type="expression" dxfId="28" priority="4">
      <formula>MOD(ROW(),2)=0</formula>
    </cfRule>
  </conditionalFormatting>
  <conditionalFormatting sqref="T10:T48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CBFEC-3FE5-428A-BD4E-DE34747C3748}">
  <sheetPr>
    <tabColor theme="5"/>
  </sheetPr>
  <dimension ref="A1:AM110"/>
  <sheetViews>
    <sheetView tabSelected="1" zoomScale="130" zoomScaleNormal="130" workbookViewId="0">
      <pane ySplit="2" topLeftCell="A3" activePane="bottomLeft" state="frozen"/>
      <selection pane="bottomLeft" activeCell="Q1" sqref="Q1"/>
    </sheetView>
  </sheetViews>
  <sheetFormatPr defaultColWidth="9.109375" defaultRowHeight="12" x14ac:dyDescent="0.25"/>
  <cols>
    <col min="1" max="1" width="6.88671875" style="595" customWidth="1"/>
    <col min="2" max="2" width="6.88671875" style="978" hidden="1" customWidth="1"/>
    <col min="3" max="3" width="6.5546875" style="1137" hidden="1" customWidth="1"/>
    <col min="4" max="4" width="45.88671875" style="575" customWidth="1"/>
    <col min="5" max="5" width="27.6640625" style="575" hidden="1" customWidth="1"/>
    <col min="6" max="6" width="23.6640625" style="575" hidden="1" customWidth="1"/>
    <col min="7" max="7" width="5.5546875" style="1035" customWidth="1"/>
    <col min="8" max="8" width="24" style="595" customWidth="1"/>
    <col min="9" max="9" width="6" style="935" customWidth="1"/>
    <col min="10" max="10" width="7.5546875" style="948" hidden="1" customWidth="1"/>
    <col min="11" max="11" width="6.109375" style="648" customWidth="1"/>
    <col min="12" max="12" width="13.88671875" style="948" hidden="1" customWidth="1"/>
    <col min="13" max="13" width="6.109375" style="947" hidden="1" customWidth="1"/>
    <col min="14" max="14" width="12" style="633" customWidth="1"/>
    <col min="15" max="15" width="12.88671875" style="633" customWidth="1"/>
    <col min="16" max="16" width="33.44140625" style="633" hidden="1" customWidth="1"/>
    <col min="17" max="17" width="12.88671875" style="575" customWidth="1"/>
    <col min="18" max="18" width="5.6640625" style="993" customWidth="1"/>
    <col min="19" max="19" width="5" style="575" customWidth="1"/>
    <col min="20" max="20" width="12" style="575" customWidth="1"/>
    <col min="21" max="21" width="9.6640625" style="974" bestFit="1" customWidth="1"/>
    <col min="22" max="22" width="6.109375" style="575" customWidth="1"/>
    <col min="23" max="23" width="11.5546875" style="575" customWidth="1"/>
    <col min="24" max="24" width="12.88671875" style="575" bestFit="1" customWidth="1"/>
    <col min="25" max="25" width="11.33203125" style="575" customWidth="1"/>
    <col min="26" max="26" width="9.88671875" style="575" bestFit="1" customWidth="1"/>
    <col min="27" max="27" width="9.109375" style="575"/>
    <col min="28" max="28" width="22.5546875" style="595" customWidth="1"/>
    <col min="29" max="32" width="5.33203125" style="575" bestFit="1" customWidth="1"/>
    <col min="33" max="33" width="5.88671875" style="575" customWidth="1"/>
    <col min="34" max="34" width="9.109375" style="575"/>
    <col min="35" max="35" width="12" style="1346" bestFit="1" customWidth="1"/>
    <col min="36" max="37" width="10.6640625" style="1346" bestFit="1" customWidth="1"/>
    <col min="38" max="38" width="16.109375" style="1346" customWidth="1"/>
    <col min="39" max="16384" width="9.109375" style="575"/>
  </cols>
  <sheetData>
    <row r="1" spans="1:33" ht="18" customHeight="1" thickBot="1" x14ac:dyDescent="0.4">
      <c r="A1" s="1043" t="s">
        <v>1478</v>
      </c>
      <c r="I1" s="981"/>
      <c r="J1" s="982"/>
      <c r="K1" s="983"/>
      <c r="L1" s="982"/>
      <c r="M1" s="1034"/>
      <c r="N1" s="980"/>
      <c r="O1" s="1036"/>
      <c r="P1" s="1037">
        <v>44641</v>
      </c>
      <c r="Q1" s="1037">
        <v>44645</v>
      </c>
      <c r="T1" s="633" t="s">
        <v>1399</v>
      </c>
      <c r="X1" s="648" t="s">
        <v>1627</v>
      </c>
      <c r="AB1" s="980" t="s">
        <v>1661</v>
      </c>
    </row>
    <row r="2" spans="1:33" ht="24.6" thickBot="1" x14ac:dyDescent="0.3">
      <c r="A2" s="1038" t="s">
        <v>834</v>
      </c>
      <c r="B2" s="1042" t="s">
        <v>1263</v>
      </c>
      <c r="C2" s="1154" t="s">
        <v>1161</v>
      </c>
      <c r="D2" s="1039" t="s">
        <v>261</v>
      </c>
      <c r="E2" s="1040" t="s">
        <v>1479</v>
      </c>
      <c r="F2" s="1040" t="s">
        <v>1477</v>
      </c>
      <c r="G2" s="1041" t="s">
        <v>12</v>
      </c>
      <c r="H2" s="1040" t="s">
        <v>14</v>
      </c>
      <c r="I2" s="1155" t="s">
        <v>1255</v>
      </c>
      <c r="J2" s="1156" t="s">
        <v>1272</v>
      </c>
      <c r="K2" s="1157" t="s">
        <v>1396</v>
      </c>
      <c r="L2" s="1156" t="s">
        <v>1397</v>
      </c>
      <c r="M2" s="1158" t="s">
        <v>1398</v>
      </c>
      <c r="N2" s="1157" t="s">
        <v>1493</v>
      </c>
      <c r="O2" s="1157" t="s">
        <v>1470</v>
      </c>
      <c r="P2" s="1159" t="s">
        <v>21</v>
      </c>
      <c r="Q2" s="1159" t="s">
        <v>1764</v>
      </c>
      <c r="R2" s="1160" t="s">
        <v>1396</v>
      </c>
      <c r="T2" s="975" t="s">
        <v>1396</v>
      </c>
      <c r="U2" s="975" t="s">
        <v>1401</v>
      </c>
      <c r="V2" s="977" t="s">
        <v>1402</v>
      </c>
      <c r="W2" s="928" t="s">
        <v>1406</v>
      </c>
      <c r="X2" s="928" t="s">
        <v>1405</v>
      </c>
      <c r="AB2" s="1054" t="s">
        <v>14</v>
      </c>
      <c r="AC2" s="1055" t="s">
        <v>275</v>
      </c>
      <c r="AD2" s="1056" t="s">
        <v>272</v>
      </c>
      <c r="AE2" s="1057" t="s">
        <v>284</v>
      </c>
      <c r="AF2" s="1058" t="s">
        <v>279</v>
      </c>
      <c r="AG2" s="1059" t="s">
        <v>1403</v>
      </c>
    </row>
    <row r="3" spans="1:33" ht="15" customHeight="1" x14ac:dyDescent="0.25">
      <c r="A3" s="1161" t="s">
        <v>1317</v>
      </c>
      <c r="B3" s="1152">
        <v>0</v>
      </c>
      <c r="C3" s="1162" t="s">
        <v>376</v>
      </c>
      <c r="D3" s="1163" t="s">
        <v>1683</v>
      </c>
      <c r="E3" s="1164"/>
      <c r="F3" s="1164"/>
      <c r="G3" s="1165">
        <v>0</v>
      </c>
      <c r="H3" s="1164"/>
      <c r="I3" s="1166">
        <v>100</v>
      </c>
      <c r="J3" s="1167" t="s">
        <v>376</v>
      </c>
      <c r="K3" s="1168" t="s">
        <v>1407</v>
      </c>
      <c r="L3" s="1169">
        <f>SUM(TIP_Oct21!M2:M27)</f>
        <v>118944820</v>
      </c>
      <c r="M3" s="1170" t="s">
        <v>1317</v>
      </c>
      <c r="N3" s="1153">
        <f>ROUNDUP(VLOOKUP($M3,$T$3:$V$8,3,FALSE)*$L3,-3)</f>
        <v>118945000</v>
      </c>
      <c r="O3" s="1143">
        <f>N3</f>
        <v>118945000</v>
      </c>
      <c r="P3" s="1171" t="s">
        <v>1431</v>
      </c>
      <c r="Q3" s="1172"/>
      <c r="R3" s="1173" t="s">
        <v>1317</v>
      </c>
      <c r="S3" s="992"/>
      <c r="T3" s="1103" t="s">
        <v>1317</v>
      </c>
      <c r="U3" s="1103">
        <v>2025</v>
      </c>
      <c r="V3" s="1104">
        <v>1</v>
      </c>
      <c r="W3" s="1105">
        <f>N3</f>
        <v>118945000</v>
      </c>
      <c r="X3" s="1106">
        <f>W3</f>
        <v>118945000</v>
      </c>
      <c r="AB3" s="1061" t="s">
        <v>1049</v>
      </c>
      <c r="AC3" s="657">
        <f t="shared" ref="AC3:AG11" si="0">COUNTIFS($H:$H,$AB3,$K:$K,AC$2)</f>
        <v>3</v>
      </c>
      <c r="AD3" s="657">
        <f t="shared" si="0"/>
        <v>6</v>
      </c>
      <c r="AE3" s="1052">
        <f t="shared" si="0"/>
        <v>0</v>
      </c>
      <c r="AF3" s="1053">
        <f t="shared" si="0"/>
        <v>8</v>
      </c>
      <c r="AG3" s="1052">
        <f t="shared" si="0"/>
        <v>0</v>
      </c>
    </row>
    <row r="4" spans="1:33" ht="15" customHeight="1" x14ac:dyDescent="0.25">
      <c r="A4" s="1174" t="s">
        <v>1317</v>
      </c>
      <c r="B4" s="1140"/>
      <c r="C4" s="1175"/>
      <c r="D4" s="1176" t="s">
        <v>1663</v>
      </c>
      <c r="E4" s="1177" t="s">
        <v>1348</v>
      </c>
      <c r="F4" s="1177" t="s">
        <v>1687</v>
      </c>
      <c r="G4" s="1178">
        <v>0</v>
      </c>
      <c r="H4" s="1177" t="s">
        <v>1481</v>
      </c>
      <c r="I4" s="1179">
        <v>100</v>
      </c>
      <c r="J4" s="1180"/>
      <c r="K4" s="1181" t="s">
        <v>1407</v>
      </c>
      <c r="L4" s="1182"/>
      <c r="M4" s="1183" t="s">
        <v>1317</v>
      </c>
      <c r="N4" s="1145"/>
      <c r="O4" s="1143"/>
      <c r="P4" s="1171"/>
      <c r="Q4" s="1172"/>
      <c r="R4" s="1173"/>
      <c r="S4" s="633"/>
      <c r="T4" s="1107" t="s">
        <v>275</v>
      </c>
      <c r="U4" s="1107">
        <v>2030</v>
      </c>
      <c r="V4" s="1104">
        <f>1/0.945</f>
        <v>1.0582010582010584</v>
      </c>
      <c r="W4" s="1105">
        <v>99928602.98488602</v>
      </c>
      <c r="X4" s="1106">
        <f>X3+W4+(41600000*0.75)</f>
        <v>250073602.98488602</v>
      </c>
      <c r="AB4" s="1060" t="s">
        <v>1646</v>
      </c>
      <c r="AC4" s="657">
        <f t="shared" si="0"/>
        <v>1</v>
      </c>
      <c r="AD4" s="657">
        <f t="shared" si="0"/>
        <v>8</v>
      </c>
      <c r="AE4" s="1052">
        <f t="shared" si="0"/>
        <v>0</v>
      </c>
      <c r="AF4" s="1053">
        <f t="shared" si="0"/>
        <v>0</v>
      </c>
      <c r="AG4" s="1052">
        <f t="shared" si="0"/>
        <v>0</v>
      </c>
    </row>
    <row r="5" spans="1:33" ht="15" customHeight="1" x14ac:dyDescent="0.25">
      <c r="A5" s="1174" t="s">
        <v>1317</v>
      </c>
      <c r="B5" s="1140"/>
      <c r="C5" s="1175"/>
      <c r="D5" s="1184" t="s">
        <v>1677</v>
      </c>
      <c r="E5" s="1177" t="s">
        <v>475</v>
      </c>
      <c r="F5" s="1177" t="s">
        <v>1689</v>
      </c>
      <c r="G5" s="1178">
        <v>0</v>
      </c>
      <c r="H5" s="1177" t="s">
        <v>1481</v>
      </c>
      <c r="I5" s="1179">
        <v>100</v>
      </c>
      <c r="J5" s="1180"/>
      <c r="K5" s="1181" t="s">
        <v>1407</v>
      </c>
      <c r="L5" s="1182"/>
      <c r="M5" s="1183" t="s">
        <v>1317</v>
      </c>
      <c r="N5" s="1145"/>
      <c r="O5" s="1143"/>
      <c r="P5" s="1171"/>
      <c r="Q5" s="1172"/>
      <c r="R5" s="1173"/>
      <c r="T5" s="1108" t="s">
        <v>272</v>
      </c>
      <c r="U5" s="1108">
        <v>2040</v>
      </c>
      <c r="V5" s="1104">
        <f>1/0.735</f>
        <v>1.3605442176870748</v>
      </c>
      <c r="W5" s="1105">
        <v>155625499.01411352</v>
      </c>
      <c r="X5" s="1106">
        <f>X4+W5</f>
        <v>405699101.99899954</v>
      </c>
      <c r="AB5" s="1060" t="s">
        <v>672</v>
      </c>
      <c r="AC5" s="657">
        <f t="shared" si="0"/>
        <v>1</v>
      </c>
      <c r="AD5" s="657">
        <f t="shared" si="0"/>
        <v>5</v>
      </c>
      <c r="AE5" s="1052">
        <f t="shared" si="0"/>
        <v>0</v>
      </c>
      <c r="AF5" s="1053">
        <f t="shared" si="0"/>
        <v>1</v>
      </c>
      <c r="AG5" s="1052">
        <f t="shared" si="0"/>
        <v>0</v>
      </c>
    </row>
    <row r="6" spans="1:33" ht="15" customHeight="1" thickBot="1" x14ac:dyDescent="0.3">
      <c r="A6" s="1174" t="s">
        <v>1317</v>
      </c>
      <c r="B6" s="1140"/>
      <c r="C6" s="1175"/>
      <c r="D6" s="1184" t="s">
        <v>1678</v>
      </c>
      <c r="E6" s="1177" t="s">
        <v>536</v>
      </c>
      <c r="F6" s="1177" t="s">
        <v>1688</v>
      </c>
      <c r="G6" s="1178">
        <v>0</v>
      </c>
      <c r="H6" s="1177" t="s">
        <v>1481</v>
      </c>
      <c r="I6" s="1179">
        <v>100</v>
      </c>
      <c r="J6" s="1180"/>
      <c r="K6" s="1181" t="s">
        <v>1407</v>
      </c>
      <c r="L6" s="1182"/>
      <c r="M6" s="1183" t="s">
        <v>1317</v>
      </c>
      <c r="N6" s="1145"/>
      <c r="O6" s="1143"/>
      <c r="P6" s="1171"/>
      <c r="Q6" s="1172"/>
      <c r="R6" s="1173"/>
      <c r="T6" s="1109" t="s">
        <v>284</v>
      </c>
      <c r="U6" s="1109">
        <v>2050</v>
      </c>
      <c r="V6" s="1110">
        <f>1/0.565</f>
        <v>1.7699115044247788</v>
      </c>
      <c r="W6" s="1111">
        <v>161889949.29482621</v>
      </c>
      <c r="X6" s="1112">
        <f>X5+W6</f>
        <v>567589051.29382575</v>
      </c>
      <c r="AB6" s="1061" t="s">
        <v>1487</v>
      </c>
      <c r="AC6" s="657">
        <f t="shared" si="0"/>
        <v>0</v>
      </c>
      <c r="AD6" s="657">
        <f t="shared" si="0"/>
        <v>2</v>
      </c>
      <c r="AE6" s="1052">
        <f t="shared" si="0"/>
        <v>4</v>
      </c>
      <c r="AF6" s="1053">
        <f t="shared" si="0"/>
        <v>4</v>
      </c>
      <c r="AG6" s="1052">
        <f t="shared" si="0"/>
        <v>0</v>
      </c>
    </row>
    <row r="7" spans="1:33" ht="15" customHeight="1" x14ac:dyDescent="0.25">
      <c r="A7" s="1174" t="s">
        <v>1317</v>
      </c>
      <c r="B7" s="1140"/>
      <c r="C7" s="1175"/>
      <c r="D7" s="1184" t="s">
        <v>1679</v>
      </c>
      <c r="E7" s="1177" t="s">
        <v>657</v>
      </c>
      <c r="F7" s="1177" t="s">
        <v>855</v>
      </c>
      <c r="G7" s="1178">
        <v>0</v>
      </c>
      <c r="H7" s="1177" t="s">
        <v>1481</v>
      </c>
      <c r="I7" s="1179">
        <v>100</v>
      </c>
      <c r="J7" s="1180"/>
      <c r="K7" s="1181" t="s">
        <v>1407</v>
      </c>
      <c r="L7" s="1182"/>
      <c r="M7" s="1183" t="s">
        <v>1317</v>
      </c>
      <c r="N7" s="1145"/>
      <c r="O7" s="1143"/>
      <c r="P7" s="1171"/>
      <c r="Q7" s="1172"/>
      <c r="R7" s="1173"/>
      <c r="T7" s="1113" t="s">
        <v>279</v>
      </c>
      <c r="U7" s="1113" t="s">
        <v>1400</v>
      </c>
      <c r="V7" s="1114">
        <f>1/0.5</f>
        <v>2</v>
      </c>
      <c r="W7" s="1115" t="s">
        <v>1424</v>
      </c>
      <c r="X7" s="1115" t="s">
        <v>362</v>
      </c>
      <c r="AB7" s="1061" t="s">
        <v>1481</v>
      </c>
      <c r="AC7" s="657">
        <f t="shared" si="0"/>
        <v>6</v>
      </c>
      <c r="AD7" s="657">
        <f t="shared" si="0"/>
        <v>4</v>
      </c>
      <c r="AE7" s="1052">
        <f t="shared" si="0"/>
        <v>1</v>
      </c>
      <c r="AF7" s="1053">
        <f t="shared" si="0"/>
        <v>10</v>
      </c>
      <c r="AG7" s="1052">
        <f t="shared" si="0"/>
        <v>0</v>
      </c>
    </row>
    <row r="8" spans="1:33" ht="15" customHeight="1" x14ac:dyDescent="0.25">
      <c r="A8" s="1174" t="s">
        <v>1317</v>
      </c>
      <c r="B8" s="1140"/>
      <c r="C8" s="1175"/>
      <c r="D8" s="1184" t="s">
        <v>1680</v>
      </c>
      <c r="E8" s="1177" t="s">
        <v>728</v>
      </c>
      <c r="F8" s="1177" t="s">
        <v>1692</v>
      </c>
      <c r="G8" s="1178">
        <v>0</v>
      </c>
      <c r="H8" s="1177" t="s">
        <v>1487</v>
      </c>
      <c r="I8" s="1179">
        <v>100</v>
      </c>
      <c r="J8" s="1180"/>
      <c r="K8" s="1181" t="s">
        <v>1407</v>
      </c>
      <c r="L8" s="1182"/>
      <c r="M8" s="1183" t="s">
        <v>1317</v>
      </c>
      <c r="N8" s="1145"/>
      <c r="O8" s="1143"/>
      <c r="P8" s="1171"/>
      <c r="Q8" s="1172"/>
      <c r="R8" s="1173"/>
      <c r="T8" s="1116" t="s">
        <v>1403</v>
      </c>
      <c r="U8" s="1116" t="s">
        <v>1404</v>
      </c>
      <c r="V8" s="1104"/>
      <c r="W8" s="1117"/>
      <c r="X8" s="1117"/>
      <c r="AB8" s="1061" t="s">
        <v>343</v>
      </c>
      <c r="AC8" s="657">
        <f t="shared" si="0"/>
        <v>1</v>
      </c>
      <c r="AD8" s="657">
        <f t="shared" si="0"/>
        <v>0</v>
      </c>
      <c r="AE8" s="1052">
        <f t="shared" si="0"/>
        <v>1</v>
      </c>
      <c r="AF8" s="1053">
        <f t="shared" si="0"/>
        <v>2</v>
      </c>
      <c r="AG8" s="1052">
        <f t="shared" si="0"/>
        <v>4</v>
      </c>
    </row>
    <row r="9" spans="1:33" ht="15" customHeight="1" x14ac:dyDescent="0.25">
      <c r="A9" s="1174" t="s">
        <v>1317</v>
      </c>
      <c r="B9" s="1140"/>
      <c r="C9" s="1175"/>
      <c r="D9" s="1184" t="s">
        <v>1681</v>
      </c>
      <c r="E9" s="1177" t="s">
        <v>614</v>
      </c>
      <c r="F9" s="1177" t="s">
        <v>1690</v>
      </c>
      <c r="G9" s="1178">
        <v>0</v>
      </c>
      <c r="H9" s="1177" t="s">
        <v>1481</v>
      </c>
      <c r="I9" s="1179">
        <v>100</v>
      </c>
      <c r="J9" s="1180"/>
      <c r="K9" s="1181" t="s">
        <v>1407</v>
      </c>
      <c r="L9" s="1182"/>
      <c r="M9" s="1183" t="s">
        <v>1317</v>
      </c>
      <c r="N9" s="1145"/>
      <c r="O9" s="1143"/>
      <c r="P9" s="1171"/>
      <c r="Q9" s="1172"/>
      <c r="R9" s="1173"/>
      <c r="AB9" s="1061" t="s">
        <v>1643</v>
      </c>
      <c r="AC9" s="657">
        <f t="shared" si="0"/>
        <v>1</v>
      </c>
      <c r="AD9" s="657">
        <f t="shared" si="0"/>
        <v>5</v>
      </c>
      <c r="AE9" s="1052">
        <f t="shared" si="0"/>
        <v>6</v>
      </c>
      <c r="AF9" s="1053">
        <f t="shared" si="0"/>
        <v>2</v>
      </c>
      <c r="AG9" s="1052">
        <f t="shared" si="0"/>
        <v>0</v>
      </c>
    </row>
    <row r="10" spans="1:33" ht="15" customHeight="1" thickBot="1" x14ac:dyDescent="0.3">
      <c r="A10" s="1185" t="s">
        <v>1317</v>
      </c>
      <c r="B10" s="1141"/>
      <c r="C10" s="1186"/>
      <c r="D10" s="1187" t="s">
        <v>1682</v>
      </c>
      <c r="E10" s="1188" t="s">
        <v>1691</v>
      </c>
      <c r="F10" s="1189" t="s">
        <v>376</v>
      </c>
      <c r="G10" s="1190">
        <v>0</v>
      </c>
      <c r="H10" s="1188" t="s">
        <v>1487</v>
      </c>
      <c r="I10" s="1191">
        <v>100</v>
      </c>
      <c r="J10" s="1192"/>
      <c r="K10" s="1193" t="s">
        <v>1407</v>
      </c>
      <c r="L10" s="1194"/>
      <c r="M10" s="1195" t="s">
        <v>1317</v>
      </c>
      <c r="N10" s="1146"/>
      <c r="O10" s="1144"/>
      <c r="P10" s="1196"/>
      <c r="Q10" s="1197"/>
      <c r="R10" s="1198" t="s">
        <v>1317</v>
      </c>
      <c r="U10" s="575"/>
      <c r="AB10" s="1061" t="s">
        <v>1645</v>
      </c>
      <c r="AC10" s="657">
        <f t="shared" si="0"/>
        <v>0</v>
      </c>
      <c r="AD10" s="657">
        <f t="shared" si="0"/>
        <v>1</v>
      </c>
      <c r="AE10" s="1052">
        <f t="shared" si="0"/>
        <v>0</v>
      </c>
      <c r="AF10" s="1053">
        <f t="shared" si="0"/>
        <v>0</v>
      </c>
      <c r="AG10" s="1052">
        <f t="shared" si="0"/>
        <v>0</v>
      </c>
    </row>
    <row r="11" spans="1:33" ht="15" customHeight="1" thickBot="1" x14ac:dyDescent="0.3">
      <c r="A11" s="1199" t="s">
        <v>986</v>
      </c>
      <c r="B11" s="979">
        <v>53</v>
      </c>
      <c r="C11" s="1200" t="s">
        <v>37</v>
      </c>
      <c r="D11" s="1201" t="s">
        <v>1494</v>
      </c>
      <c r="E11" s="1201" t="s">
        <v>1495</v>
      </c>
      <c r="F11" s="1201" t="s">
        <v>1496</v>
      </c>
      <c r="G11" s="1202">
        <v>1.8201708227272726</v>
      </c>
      <c r="H11" s="1203" t="s">
        <v>672</v>
      </c>
      <c r="I11" s="1204">
        <f>VLOOKUP($A11,PRIORITIZATION!$B:$BW,68,FALSE)</f>
        <v>76.226666666666659</v>
      </c>
      <c r="J11" s="1205" t="s">
        <v>376</v>
      </c>
      <c r="K11" s="1206" t="s">
        <v>275</v>
      </c>
      <c r="L11" s="1207">
        <f>VLOOKUP($A11,'MTP_lines-polygons'!$E:$P,12,FALSE)</f>
        <v>14502841.645762801</v>
      </c>
      <c r="M11" s="1208" t="str">
        <f t="shared" ref="M11:M20" si="1">K11</f>
        <v>Tier 1</v>
      </c>
      <c r="N11" s="1209">
        <f t="shared" ref="N11:N20" si="2">ROUNDUP(VLOOKUP($M11,$T$3:$V$8,3,FALSE)*$L11,-3)</f>
        <v>15347000</v>
      </c>
      <c r="O11" s="1210">
        <f>O3+N11</f>
        <v>134292000</v>
      </c>
      <c r="P11" s="1211" t="s">
        <v>1703</v>
      </c>
      <c r="Q11" s="1212" t="s">
        <v>1704</v>
      </c>
      <c r="R11" s="1173" t="s">
        <v>275</v>
      </c>
      <c r="S11" s="1139"/>
      <c r="W11" s="648" t="s">
        <v>1626</v>
      </c>
      <c r="X11" s="648" t="s">
        <v>1626</v>
      </c>
      <c r="AB11" s="1062" t="s">
        <v>1155</v>
      </c>
      <c r="AC11" s="1063">
        <f t="shared" si="0"/>
        <v>0</v>
      </c>
      <c r="AD11" s="1063">
        <f t="shared" si="0"/>
        <v>0</v>
      </c>
      <c r="AE11" s="1064">
        <f t="shared" si="0"/>
        <v>0</v>
      </c>
      <c r="AF11" s="1065">
        <f t="shared" si="0"/>
        <v>0</v>
      </c>
      <c r="AG11" s="1064">
        <f t="shared" si="0"/>
        <v>2</v>
      </c>
    </row>
    <row r="12" spans="1:33" ht="15" customHeight="1" thickBot="1" x14ac:dyDescent="0.3">
      <c r="A12" s="1199" t="s">
        <v>910</v>
      </c>
      <c r="B12" s="979">
        <v>34</v>
      </c>
      <c r="C12" s="1200" t="s">
        <v>37</v>
      </c>
      <c r="D12" s="1213" t="s">
        <v>731</v>
      </c>
      <c r="E12" s="1201" t="s">
        <v>864</v>
      </c>
      <c r="F12" s="1201" t="s">
        <v>865</v>
      </c>
      <c r="G12" s="1202">
        <v>1.4480544234593939</v>
      </c>
      <c r="H12" s="1201" t="s">
        <v>1481</v>
      </c>
      <c r="I12" s="1204">
        <f>VLOOKUP($A12,PRIORITIZATION!$B:$BW,68,FALSE)</f>
        <v>68.863333333333344</v>
      </c>
      <c r="J12" s="1214" t="s">
        <v>275</v>
      </c>
      <c r="K12" s="1206" t="s">
        <v>275</v>
      </c>
      <c r="L12" s="1207">
        <f>VLOOKUP($A12,'MTP_lines-polygons'!$E:$P,12,FALSE)</f>
        <v>10260000</v>
      </c>
      <c r="M12" s="1208" t="str">
        <f t="shared" si="1"/>
        <v>Tier 1</v>
      </c>
      <c r="N12" s="1209">
        <f t="shared" si="2"/>
        <v>10858000</v>
      </c>
      <c r="O12" s="1215">
        <f t="shared" ref="O12:O27" si="3">O11+N12</f>
        <v>145150000</v>
      </c>
      <c r="P12" s="1212" t="s">
        <v>1706</v>
      </c>
      <c r="Q12" s="1212"/>
      <c r="R12" s="1173"/>
      <c r="T12" s="1077"/>
      <c r="U12" s="1078" t="s">
        <v>1425</v>
      </c>
      <c r="V12" s="1078" t="s">
        <v>12</v>
      </c>
      <c r="W12" s="1079" t="s">
        <v>1409</v>
      </c>
      <c r="X12" s="1080" t="s">
        <v>1405</v>
      </c>
      <c r="Y12" s="1081" t="s">
        <v>1426</v>
      </c>
      <c r="AB12" s="1066" t="s">
        <v>1486</v>
      </c>
      <c r="AC12" s="1067">
        <f>SUM(AC3:AC11)</f>
        <v>13</v>
      </c>
      <c r="AD12" s="1067">
        <f>SUM(AD3:AD11)</f>
        <v>31</v>
      </c>
      <c r="AE12" s="1068">
        <f>SUM(AE3:AE11)</f>
        <v>12</v>
      </c>
      <c r="AF12" s="1069">
        <f>SUM(AF3:AF11)</f>
        <v>27</v>
      </c>
      <c r="AG12" s="1068">
        <f>SUM(AG3:AG11)</f>
        <v>6</v>
      </c>
    </row>
    <row r="13" spans="1:33" ht="15" customHeight="1" x14ac:dyDescent="0.25">
      <c r="A13" s="1216" t="s">
        <v>908</v>
      </c>
      <c r="B13" s="979">
        <v>31</v>
      </c>
      <c r="C13" s="1217" t="s">
        <v>37</v>
      </c>
      <c r="D13" s="1218" t="s">
        <v>1358</v>
      </c>
      <c r="E13" s="1212" t="s">
        <v>736</v>
      </c>
      <c r="F13" s="1212" t="s">
        <v>785</v>
      </c>
      <c r="G13" s="1219">
        <v>1.7902595445076592</v>
      </c>
      <c r="H13" s="1212" t="s">
        <v>1481</v>
      </c>
      <c r="I13" s="1204">
        <f>VLOOKUP($A13,PRIORITIZATION!$B:$BW,68,FALSE)</f>
        <v>66.36</v>
      </c>
      <c r="J13" s="1220" t="s">
        <v>275</v>
      </c>
      <c r="K13" s="1221" t="s">
        <v>275</v>
      </c>
      <c r="L13" s="1222">
        <f>VLOOKUP($A13,'MTP_lines-polygons'!$E:$P,12,FALSE)</f>
        <v>12539999.999999998</v>
      </c>
      <c r="M13" s="1223" t="str">
        <f t="shared" si="1"/>
        <v>Tier 1</v>
      </c>
      <c r="N13" s="1209">
        <f t="shared" si="2"/>
        <v>13270000</v>
      </c>
      <c r="O13" s="1215">
        <f t="shared" si="3"/>
        <v>158420000</v>
      </c>
      <c r="P13" s="1224" t="s">
        <v>1707</v>
      </c>
      <c r="Q13" s="1212" t="s">
        <v>1704</v>
      </c>
      <c r="R13" s="1225"/>
      <c r="T13" s="1085" t="s">
        <v>1407</v>
      </c>
      <c r="U13" s="664">
        <f t="shared" ref="U13:U18" si="4">COUNTIF(K:K,T13)</f>
        <v>8</v>
      </c>
      <c r="V13" s="1086">
        <f t="shared" ref="V13:V18" si="5">SUMIF(K:K,T13,G:G)</f>
        <v>0</v>
      </c>
      <c r="W13" s="1087">
        <f t="shared" ref="W13:W17" si="6">SUMIF(K:K,T13,N:N)</f>
        <v>118945000</v>
      </c>
      <c r="X13" s="1088">
        <f>W13</f>
        <v>118945000</v>
      </c>
      <c r="Y13" s="1089">
        <f>X13-X3</f>
        <v>0</v>
      </c>
    </row>
    <row r="14" spans="1:33" ht="15" customHeight="1" x14ac:dyDescent="0.25">
      <c r="A14" s="1216" t="s">
        <v>920</v>
      </c>
      <c r="B14" s="979">
        <v>44</v>
      </c>
      <c r="C14" s="1217" t="s">
        <v>37</v>
      </c>
      <c r="D14" s="1218" t="s">
        <v>974</v>
      </c>
      <c r="E14" s="1212" t="s">
        <v>862</v>
      </c>
      <c r="F14" s="1212" t="s">
        <v>728</v>
      </c>
      <c r="G14" s="1219">
        <v>1.6746651916226118</v>
      </c>
      <c r="H14" s="1212" t="s">
        <v>1481</v>
      </c>
      <c r="I14" s="1204">
        <f>VLOOKUP($A14,PRIORITIZATION!$B:$BW,68,FALSE)</f>
        <v>55.71</v>
      </c>
      <c r="J14" s="1220" t="s">
        <v>284</v>
      </c>
      <c r="K14" s="1206" t="s">
        <v>275</v>
      </c>
      <c r="L14" s="1222">
        <f>VLOOKUP($A14,'MTP_lines-polygons'!$E:$P,12,FALSE)</f>
        <v>14819999.999999998</v>
      </c>
      <c r="M14" s="1223" t="str">
        <f t="shared" si="1"/>
        <v>Tier 1</v>
      </c>
      <c r="N14" s="1209">
        <f t="shared" si="2"/>
        <v>15683000</v>
      </c>
      <c r="O14" s="1215">
        <f t="shared" si="3"/>
        <v>174103000</v>
      </c>
      <c r="P14" s="1212" t="s">
        <v>1708</v>
      </c>
      <c r="Q14" s="1212" t="s">
        <v>1704</v>
      </c>
      <c r="R14" s="1173"/>
      <c r="T14" s="1090" t="s">
        <v>275</v>
      </c>
      <c r="U14" s="664">
        <f t="shared" si="4"/>
        <v>15</v>
      </c>
      <c r="V14" s="1086">
        <f t="shared" si="5"/>
        <v>11.398460962241181</v>
      </c>
      <c r="W14" s="1087">
        <f>SUMIF(K:K,T14,N:N)</f>
        <v>131078000</v>
      </c>
      <c r="X14" s="1088">
        <f>X13+W14</f>
        <v>250023000</v>
      </c>
      <c r="Y14" s="1089">
        <f>X14-X4</f>
        <v>-50602.984886020422</v>
      </c>
      <c r="Z14" s="1051"/>
    </row>
    <row r="15" spans="1:33" ht="15" customHeight="1" thickBot="1" x14ac:dyDescent="0.35">
      <c r="A15" s="574" t="s">
        <v>1116</v>
      </c>
      <c r="B15" s="979">
        <v>12</v>
      </c>
      <c r="C15" s="1217" t="s">
        <v>197</v>
      </c>
      <c r="D15" s="1218" t="s">
        <v>1456</v>
      </c>
      <c r="E15" s="1212" t="s">
        <v>732</v>
      </c>
      <c r="F15" s="1212" t="s">
        <v>475</v>
      </c>
      <c r="G15" s="1226">
        <v>0</v>
      </c>
      <c r="H15" s="893" t="s">
        <v>1049</v>
      </c>
      <c r="I15" s="1204">
        <f>VLOOKUP($A15,PRIORITIZATION!$B:$BW,68,FALSE)</f>
        <v>52.089999999999996</v>
      </c>
      <c r="J15" s="1227" t="s">
        <v>376</v>
      </c>
      <c r="K15" s="1206" t="s">
        <v>275</v>
      </c>
      <c r="L15" s="1222">
        <f>VLOOKUP($A15,MTP_points!$C:$K,9,FALSE)</f>
        <v>1990360.4045454548</v>
      </c>
      <c r="M15" s="1223" t="str">
        <f t="shared" si="1"/>
        <v>Tier 1</v>
      </c>
      <c r="N15" s="1209">
        <f t="shared" si="2"/>
        <v>2107000</v>
      </c>
      <c r="O15" s="1215">
        <f t="shared" si="3"/>
        <v>176210000</v>
      </c>
      <c r="P15" s="1228" t="s">
        <v>1709</v>
      </c>
      <c r="Q15" s="1228" t="s">
        <v>1704</v>
      </c>
      <c r="R15" s="1225"/>
      <c r="T15" s="1091" t="s">
        <v>272</v>
      </c>
      <c r="U15" s="664">
        <f t="shared" si="4"/>
        <v>31</v>
      </c>
      <c r="V15" s="1086">
        <f t="shared" si="5"/>
        <v>18.815064015256134</v>
      </c>
      <c r="W15" s="1087">
        <f t="shared" si="6"/>
        <v>155675000</v>
      </c>
      <c r="X15" s="1088">
        <f>X14+W15</f>
        <v>405698000</v>
      </c>
      <c r="Y15" s="1089">
        <f>X15-X5</f>
        <v>-1101.9989995360374</v>
      </c>
      <c r="Z15" s="1051"/>
      <c r="AB15"/>
    </row>
    <row r="16" spans="1:33" ht="15" customHeight="1" thickBot="1" x14ac:dyDescent="0.3">
      <c r="A16" s="1216" t="s">
        <v>934</v>
      </c>
      <c r="B16" s="979">
        <v>60</v>
      </c>
      <c r="C16" s="1217" t="s">
        <v>37</v>
      </c>
      <c r="D16" s="1218" t="s">
        <v>1088</v>
      </c>
      <c r="E16" s="1212" t="s">
        <v>1089</v>
      </c>
      <c r="F16" s="1212" t="s">
        <v>1090</v>
      </c>
      <c r="G16" s="1219">
        <v>1.2437148742424242</v>
      </c>
      <c r="H16" s="1212" t="s">
        <v>1481</v>
      </c>
      <c r="I16" s="1204">
        <f>VLOOKUP($A16,PRIORITIZATION!$B:$BW,68,FALSE)</f>
        <v>50.92</v>
      </c>
      <c r="J16" s="1220" t="s">
        <v>376</v>
      </c>
      <c r="K16" s="1206" t="s">
        <v>275</v>
      </c>
      <c r="L16" s="1222">
        <f>VLOOKUP($A16,'MTP_lines-polygons'!$E:$P,12,FALSE)</f>
        <v>8291399.7520343103</v>
      </c>
      <c r="M16" s="1223" t="str">
        <f t="shared" si="1"/>
        <v>Tier 1</v>
      </c>
      <c r="N16" s="1209">
        <f t="shared" si="2"/>
        <v>8774000</v>
      </c>
      <c r="O16" s="1215">
        <f t="shared" si="3"/>
        <v>184984000</v>
      </c>
      <c r="P16" s="1224" t="s">
        <v>1370</v>
      </c>
      <c r="Q16" s="1212"/>
      <c r="R16" s="1225"/>
      <c r="T16" s="1092" t="s">
        <v>284</v>
      </c>
      <c r="U16" s="1093">
        <f t="shared" si="4"/>
        <v>12</v>
      </c>
      <c r="V16" s="1094">
        <f t="shared" si="5"/>
        <v>21.158465182247301</v>
      </c>
      <c r="W16" s="1095">
        <f t="shared" si="6"/>
        <v>161850000</v>
      </c>
      <c r="X16" s="1096">
        <f t="shared" ref="X16" si="7">X15+W16</f>
        <v>567548000</v>
      </c>
      <c r="Y16" s="1097">
        <f>X16-X6</f>
        <v>-41051.293825745583</v>
      </c>
      <c r="Z16" s="1051"/>
      <c r="AB16" s="1054" t="s">
        <v>14</v>
      </c>
      <c r="AC16" s="1055" t="s">
        <v>275</v>
      </c>
      <c r="AD16" s="1056" t="s">
        <v>272</v>
      </c>
      <c r="AE16" s="1057" t="s">
        <v>284</v>
      </c>
      <c r="AF16" s="1058" t="s">
        <v>279</v>
      </c>
      <c r="AG16" s="1059" t="s">
        <v>1403</v>
      </c>
    </row>
    <row r="17" spans="1:39" ht="15" customHeight="1" x14ac:dyDescent="0.25">
      <c r="A17" s="574" t="s">
        <v>1109</v>
      </c>
      <c r="B17" s="979">
        <v>6</v>
      </c>
      <c r="C17" s="1217" t="s">
        <v>197</v>
      </c>
      <c r="D17" s="1218" t="s">
        <v>1450</v>
      </c>
      <c r="E17" s="1212" t="s">
        <v>1354</v>
      </c>
      <c r="F17" s="1212" t="s">
        <v>1629</v>
      </c>
      <c r="G17" s="1226">
        <v>0</v>
      </c>
      <c r="H17" s="893" t="s">
        <v>1049</v>
      </c>
      <c r="I17" s="1204">
        <f>VLOOKUP($A17,PRIORITIZATION!$B:$BW,68,FALSE)</f>
        <v>50.24</v>
      </c>
      <c r="J17" s="1227" t="s">
        <v>376</v>
      </c>
      <c r="K17" s="1221" t="s">
        <v>275</v>
      </c>
      <c r="L17" s="1222">
        <f>VLOOKUP($A17,MTP_points!$C:$K,9,FALSE)</f>
        <v>1498465.9800000002</v>
      </c>
      <c r="M17" s="1223" t="str">
        <f t="shared" si="1"/>
        <v>Tier 1</v>
      </c>
      <c r="N17" s="1209">
        <f t="shared" si="2"/>
        <v>1586000</v>
      </c>
      <c r="O17" s="1215">
        <f t="shared" si="3"/>
        <v>186570000</v>
      </c>
      <c r="P17" s="1228" t="s">
        <v>1750</v>
      </c>
      <c r="Q17" s="1229" t="s">
        <v>1695</v>
      </c>
      <c r="R17" s="1225"/>
      <c r="T17" s="1098" t="s">
        <v>279</v>
      </c>
      <c r="U17" s="663">
        <f t="shared" si="4"/>
        <v>27</v>
      </c>
      <c r="V17" s="1099">
        <f t="shared" si="5"/>
        <v>41.888708895610435</v>
      </c>
      <c r="W17" s="1100">
        <f t="shared" si="6"/>
        <v>471822000</v>
      </c>
      <c r="X17" s="1101">
        <f>X16+W17</f>
        <v>1039370000</v>
      </c>
      <c r="Y17" s="1051"/>
      <c r="Z17" s="1051"/>
      <c r="AB17" s="1060" t="s">
        <v>237</v>
      </c>
      <c r="AC17" s="1071">
        <f>SUM(AC3:AC4)</f>
        <v>4</v>
      </c>
      <c r="AD17" s="1071">
        <f>SUM(AD3:AD4)</f>
        <v>14</v>
      </c>
      <c r="AE17" s="1073">
        <f>SUM(AE3:AE4)</f>
        <v>0</v>
      </c>
      <c r="AF17" s="1074">
        <f>SUM(AF3:AF4)</f>
        <v>8</v>
      </c>
      <c r="AG17" s="1073">
        <f>SUM(AG3:AG4)</f>
        <v>0</v>
      </c>
    </row>
    <row r="18" spans="1:39" ht="15" customHeight="1" thickBot="1" x14ac:dyDescent="0.3">
      <c r="A18" s="1216" t="s">
        <v>1347</v>
      </c>
      <c r="B18" s="979">
        <v>33</v>
      </c>
      <c r="C18" s="1217" t="s">
        <v>37</v>
      </c>
      <c r="D18" s="1230" t="s">
        <v>1667</v>
      </c>
      <c r="E18" s="1212" t="s">
        <v>1063</v>
      </c>
      <c r="F18" s="1212" t="s">
        <v>795</v>
      </c>
      <c r="G18" s="1231">
        <v>1.858649797159091</v>
      </c>
      <c r="H18" s="1212" t="s">
        <v>1481</v>
      </c>
      <c r="I18" s="1204">
        <f>VLOOKUP($A18,PRIORITIZATION!$B:$BW,68,FALSE)</f>
        <v>48.546666666666674</v>
      </c>
      <c r="J18" s="1220" t="s">
        <v>341</v>
      </c>
      <c r="K18" s="1206" t="s">
        <v>275</v>
      </c>
      <c r="L18" s="1222">
        <f>VLOOKUP($A18,'MTP_lines-polygons'!$E:$P,12,FALSE)</f>
        <v>11762283.245760288</v>
      </c>
      <c r="M18" s="1223" t="str">
        <f t="shared" si="1"/>
        <v>Tier 1</v>
      </c>
      <c r="N18" s="1209">
        <f t="shared" si="2"/>
        <v>12447000</v>
      </c>
      <c r="O18" s="1215">
        <f t="shared" si="3"/>
        <v>199017000</v>
      </c>
      <c r="P18" s="1224" t="s">
        <v>1710</v>
      </c>
      <c r="Q18" s="1232" t="s">
        <v>1696</v>
      </c>
      <c r="R18" s="1225"/>
      <c r="T18" s="1102" t="s">
        <v>1403</v>
      </c>
      <c r="U18" s="1093">
        <f t="shared" si="4"/>
        <v>6</v>
      </c>
      <c r="V18" s="1094">
        <f t="shared" si="5"/>
        <v>14.98668574498447</v>
      </c>
      <c r="W18" s="1095">
        <f>SUMIF(K:K,T18,N:N)</f>
        <v>600331909.71818817</v>
      </c>
      <c r="X18" s="1096">
        <f>X17+W18</f>
        <v>1639701909.7181883</v>
      </c>
      <c r="Y18" s="575" t="s">
        <v>1662</v>
      </c>
      <c r="AB18" s="1060" t="s">
        <v>672</v>
      </c>
      <c r="AC18" s="1071">
        <f>AC5</f>
        <v>1</v>
      </c>
      <c r="AD18" s="1071">
        <f t="shared" ref="AD18:AG20" si="8">AD5</f>
        <v>5</v>
      </c>
      <c r="AE18" s="1073">
        <f t="shared" si="8"/>
        <v>0</v>
      </c>
      <c r="AF18" s="1074">
        <f t="shared" si="8"/>
        <v>1</v>
      </c>
      <c r="AG18" s="1073">
        <f t="shared" si="8"/>
        <v>0</v>
      </c>
    </row>
    <row r="19" spans="1:39" ht="15" customHeight="1" x14ac:dyDescent="0.25">
      <c r="A19" s="1216" t="s">
        <v>1346</v>
      </c>
      <c r="B19" s="979">
        <v>32</v>
      </c>
      <c r="C19" s="1217" t="s">
        <v>37</v>
      </c>
      <c r="D19" s="893" t="s">
        <v>1746</v>
      </c>
      <c r="E19" s="1212" t="s">
        <v>621</v>
      </c>
      <c r="F19" s="1212" t="s">
        <v>1348</v>
      </c>
      <c r="G19" s="1219">
        <v>0.74798476553030302</v>
      </c>
      <c r="H19" s="1212" t="s">
        <v>1481</v>
      </c>
      <c r="I19" s="1204">
        <f>VLOOKUP($A19,PRIORITIZATION!$B:$BW,68,FALSE)</f>
        <v>47.146666666666675</v>
      </c>
      <c r="J19" s="1220" t="s">
        <v>341</v>
      </c>
      <c r="K19" s="1221" t="s">
        <v>275</v>
      </c>
      <c r="L19" s="1222">
        <f>VLOOKUP($A19,'MTP_lines-polygons'!$E:$P,12,FALSE)</f>
        <v>5337716.7542397073</v>
      </c>
      <c r="M19" s="1223" t="str">
        <f t="shared" si="1"/>
        <v>Tier 1</v>
      </c>
      <c r="N19" s="1209">
        <f t="shared" si="2"/>
        <v>5649000</v>
      </c>
      <c r="O19" s="1215">
        <f t="shared" si="3"/>
        <v>204666000</v>
      </c>
      <c r="P19" s="1224" t="s">
        <v>1710</v>
      </c>
      <c r="Q19" s="1232" t="s">
        <v>1696</v>
      </c>
      <c r="R19" s="1225"/>
      <c r="AB19" s="1060" t="s">
        <v>1487</v>
      </c>
      <c r="AC19" s="1071">
        <f>AC6</f>
        <v>0</v>
      </c>
      <c r="AD19" s="1071">
        <f t="shared" si="8"/>
        <v>2</v>
      </c>
      <c r="AE19" s="1073">
        <f t="shared" si="8"/>
        <v>4</v>
      </c>
      <c r="AF19" s="1074">
        <f t="shared" si="8"/>
        <v>4</v>
      </c>
      <c r="AG19" s="1073">
        <f t="shared" si="8"/>
        <v>0</v>
      </c>
    </row>
    <row r="20" spans="1:39" ht="15" customHeight="1" x14ac:dyDescent="0.25">
      <c r="A20" s="1216" t="s">
        <v>1488</v>
      </c>
      <c r="B20" s="979"/>
      <c r="C20" s="1200" t="s">
        <v>197</v>
      </c>
      <c r="D20" s="1201" t="s">
        <v>1489</v>
      </c>
      <c r="E20" s="1201" t="s">
        <v>1491</v>
      </c>
      <c r="F20" s="1201" t="s">
        <v>795</v>
      </c>
      <c r="G20" s="1233">
        <v>0</v>
      </c>
      <c r="H20" s="1203" t="s">
        <v>1646</v>
      </c>
      <c r="I20" s="1204">
        <f>VLOOKUP($A20,PRIORITIZATION!$B:$BW,68,FALSE)</f>
        <v>45.893333333333338</v>
      </c>
      <c r="J20" s="1205" t="s">
        <v>376</v>
      </c>
      <c r="K20" s="1206" t="s">
        <v>275</v>
      </c>
      <c r="L20" s="1207">
        <f>VLOOKUP($A20,MTP_points!$C:$K,9,FALSE)</f>
        <v>379120.49999999994</v>
      </c>
      <c r="M20" s="1208" t="str">
        <f t="shared" si="1"/>
        <v>Tier 1</v>
      </c>
      <c r="N20" s="1209">
        <f t="shared" si="2"/>
        <v>402000</v>
      </c>
      <c r="O20" s="1215">
        <f t="shared" si="3"/>
        <v>205068000</v>
      </c>
      <c r="P20" s="1224" t="s">
        <v>1711</v>
      </c>
      <c r="Q20" s="1212" t="s">
        <v>1704</v>
      </c>
      <c r="R20" s="1225"/>
      <c r="S20" s="1139"/>
      <c r="U20" s="575"/>
      <c r="AB20" s="1060" t="s">
        <v>105</v>
      </c>
      <c r="AC20" s="1071">
        <f>AC7</f>
        <v>6</v>
      </c>
      <c r="AD20" s="1071">
        <f t="shared" si="8"/>
        <v>4</v>
      </c>
      <c r="AE20" s="1073">
        <f t="shared" si="8"/>
        <v>1</v>
      </c>
      <c r="AF20" s="1074">
        <f t="shared" si="8"/>
        <v>10</v>
      </c>
      <c r="AG20" s="1073">
        <f t="shared" si="8"/>
        <v>0</v>
      </c>
    </row>
    <row r="21" spans="1:39" ht="15" customHeight="1" x14ac:dyDescent="0.25">
      <c r="A21" s="1216" t="s">
        <v>938</v>
      </c>
      <c r="B21" s="1118">
        <v>908</v>
      </c>
      <c r="C21" s="1217" t="s">
        <v>360</v>
      </c>
      <c r="D21" s="1212" t="s">
        <v>1684</v>
      </c>
      <c r="E21" s="1212" t="s">
        <v>1685</v>
      </c>
      <c r="F21" s="1212" t="s">
        <v>376</v>
      </c>
      <c r="G21" s="1219">
        <v>0</v>
      </c>
      <c r="H21" s="1212" t="s">
        <v>343</v>
      </c>
      <c r="I21" s="1234">
        <f>VLOOKUP($A21,PRIORITIZATION!$B:$BW,68,FALSE)</f>
        <v>44.65</v>
      </c>
      <c r="J21" s="1227" t="s">
        <v>376</v>
      </c>
      <c r="K21" s="1221" t="s">
        <v>275</v>
      </c>
      <c r="L21" s="1222"/>
      <c r="M21" s="1223"/>
      <c r="N21" s="1235">
        <f>41600000</f>
        <v>41600000</v>
      </c>
      <c r="O21" s="1215">
        <f t="shared" si="3"/>
        <v>246668000</v>
      </c>
      <c r="P21" s="1224" t="s">
        <v>1749</v>
      </c>
      <c r="Q21" s="1344" t="s">
        <v>1757</v>
      </c>
      <c r="R21" s="1236"/>
      <c r="S21" s="1138">
        <v>0.25</v>
      </c>
      <c r="T21" s="976">
        <f>N21*S21</f>
        <v>10400000</v>
      </c>
      <c r="U21" s="976" t="s">
        <v>1760</v>
      </c>
      <c r="V21" s="976"/>
      <c r="W21" s="976"/>
      <c r="X21" s="976"/>
      <c r="AB21" s="1060" t="s">
        <v>343</v>
      </c>
      <c r="AC21" s="1071">
        <f>AC8</f>
        <v>1</v>
      </c>
      <c r="AD21" s="1071">
        <f>AD8</f>
        <v>0</v>
      </c>
      <c r="AE21" s="1073">
        <f>AE8</f>
        <v>1</v>
      </c>
      <c r="AF21" s="1074">
        <f>AF8</f>
        <v>2</v>
      </c>
      <c r="AG21" s="1073">
        <f>AG8</f>
        <v>4</v>
      </c>
    </row>
    <row r="22" spans="1:39" ht="15" customHeight="1" thickBot="1" x14ac:dyDescent="0.3">
      <c r="A22" s="573" t="s">
        <v>1103</v>
      </c>
      <c r="B22" s="979">
        <v>1</v>
      </c>
      <c r="C22" s="1200" t="s">
        <v>197</v>
      </c>
      <c r="D22" s="1213" t="s">
        <v>1445</v>
      </c>
      <c r="E22" s="1201" t="s">
        <v>1366</v>
      </c>
      <c r="F22" s="1201" t="s">
        <v>551</v>
      </c>
      <c r="G22" s="1233">
        <v>0</v>
      </c>
      <c r="H22" s="1213" t="s">
        <v>1049</v>
      </c>
      <c r="I22" s="1234">
        <f>VLOOKUP($A22,PRIORITIZATION!$B:$BW,68,FALSE)</f>
        <v>40.723333333333336</v>
      </c>
      <c r="J22" s="1227" t="s">
        <v>376</v>
      </c>
      <c r="K22" s="1221" t="s">
        <v>275</v>
      </c>
      <c r="L22" s="1222">
        <f>VLOOKUP($A22,MTP_points!$C:$K,9,FALSE)</f>
        <v>1992872.9700000002</v>
      </c>
      <c r="M22" s="1223" t="str">
        <f t="shared" ref="M22:M67" si="9">K22</f>
        <v>Tier 1</v>
      </c>
      <c r="N22" s="1215">
        <f>ROUNDUP(VLOOKUP($M22,$T$3:$V$8,3,FALSE)*$L22,-3)</f>
        <v>2109000</v>
      </c>
      <c r="O22" s="1215">
        <f t="shared" si="3"/>
        <v>248777000</v>
      </c>
      <c r="P22" s="1237" t="s">
        <v>1497</v>
      </c>
      <c r="Q22" s="1228" t="s">
        <v>1346</v>
      </c>
      <c r="R22" s="1238"/>
      <c r="S22" s="1348">
        <v>0.75</v>
      </c>
      <c r="T22" s="1347">
        <f>N21*S22</f>
        <v>31200000</v>
      </c>
      <c r="U22" s="1347" t="s">
        <v>1761</v>
      </c>
      <c r="V22" s="976"/>
      <c r="W22" s="976"/>
      <c r="X22" s="976"/>
      <c r="AB22" s="1070" t="s">
        <v>858</v>
      </c>
      <c r="AC22" s="1072">
        <f>SUM(AC9:AC11)</f>
        <v>1</v>
      </c>
      <c r="AD22" s="1072">
        <f>SUM(AD9:AD11)</f>
        <v>6</v>
      </c>
      <c r="AE22" s="1075">
        <f>SUM(AE9:AE11)</f>
        <v>6</v>
      </c>
      <c r="AF22" s="1076">
        <f>SUM(AF9:AF11)</f>
        <v>2</v>
      </c>
      <c r="AG22" s="1075">
        <f>SUM(AG9:AG11)</f>
        <v>2</v>
      </c>
    </row>
    <row r="23" spans="1:39" ht="15" customHeight="1" thickBot="1" x14ac:dyDescent="0.3">
      <c r="A23" s="574" t="s">
        <v>1379</v>
      </c>
      <c r="B23" s="1118">
        <v>74</v>
      </c>
      <c r="C23" s="1217" t="s">
        <v>37</v>
      </c>
      <c r="D23" s="1218" t="s">
        <v>1380</v>
      </c>
      <c r="E23" s="1218" t="s">
        <v>618</v>
      </c>
      <c r="F23" s="1218" t="s">
        <v>1381</v>
      </c>
      <c r="G23" s="1219">
        <v>0.27223524507575758</v>
      </c>
      <c r="H23" s="893" t="s">
        <v>1643</v>
      </c>
      <c r="I23" s="1234">
        <f>VLOOKUP($A23,PRIORITIZATION!$B:$BW,68,FALSE)</f>
        <v>30.080000000000005</v>
      </c>
      <c r="J23" s="1227" t="s">
        <v>376</v>
      </c>
      <c r="K23" s="1221" t="s">
        <v>275</v>
      </c>
      <c r="L23" s="1222">
        <f>VLOOKUP($A23,'MTP_lines-polygons'!$E:$P,12,FALSE)</f>
        <v>421316.19492484495</v>
      </c>
      <c r="M23" s="1223" t="str">
        <f t="shared" si="9"/>
        <v>Tier 1</v>
      </c>
      <c r="N23" s="1215">
        <f>ROUNDUP(VLOOKUP($M23,$T$3:$V$8,3,FALSE)*$L23,-3)</f>
        <v>446000</v>
      </c>
      <c r="O23" s="1215">
        <f t="shared" si="3"/>
        <v>249223000</v>
      </c>
      <c r="P23" s="1239" t="s">
        <v>1369</v>
      </c>
      <c r="Q23" s="1228" t="s">
        <v>1360</v>
      </c>
      <c r="R23" s="1173"/>
      <c r="U23" s="976"/>
      <c r="V23" s="976"/>
      <c r="W23" s="976"/>
      <c r="X23" s="976"/>
      <c r="AB23" s="1066" t="s">
        <v>1486</v>
      </c>
      <c r="AC23" s="1067">
        <f>SUM(AC17:AC22)</f>
        <v>13</v>
      </c>
      <c r="AD23" s="1067">
        <f>SUM(AD17:AD22)</f>
        <v>31</v>
      </c>
      <c r="AE23" s="1068">
        <f>SUM(AE17:AE22)</f>
        <v>12</v>
      </c>
      <c r="AF23" s="1069">
        <f>SUM(AF17:AF22)</f>
        <v>27</v>
      </c>
      <c r="AG23" s="1068">
        <f>SUM(AG17:AG22)</f>
        <v>6</v>
      </c>
    </row>
    <row r="24" spans="1:39" ht="15" customHeight="1" thickBot="1" x14ac:dyDescent="0.3">
      <c r="A24" s="1240" t="s">
        <v>376</v>
      </c>
      <c r="B24" s="1118"/>
      <c r="C24" s="1217"/>
      <c r="D24" s="1218" t="s">
        <v>1759</v>
      </c>
      <c r="E24" s="1218" t="s">
        <v>786</v>
      </c>
      <c r="F24" s="1218" t="s">
        <v>872</v>
      </c>
      <c r="G24" s="1202">
        <v>0.54272629791666671</v>
      </c>
      <c r="H24" s="893" t="s">
        <v>1751</v>
      </c>
      <c r="I24" s="1234"/>
      <c r="J24" s="1227"/>
      <c r="K24" s="1221" t="s">
        <v>275</v>
      </c>
      <c r="L24" s="1222"/>
      <c r="M24" s="1223" t="str">
        <f t="shared" si="9"/>
        <v>Tier 1</v>
      </c>
      <c r="N24" s="1241">
        <v>300000</v>
      </c>
      <c r="O24" s="1242">
        <f t="shared" si="3"/>
        <v>249523000</v>
      </c>
      <c r="P24" s="1239"/>
      <c r="Q24" s="1228" t="s">
        <v>926</v>
      </c>
      <c r="R24" s="1173"/>
      <c r="T24" s="1149" t="s">
        <v>1758</v>
      </c>
      <c r="U24" s="976"/>
      <c r="V24" s="976"/>
      <c r="W24" s="976"/>
      <c r="X24" s="976"/>
    </row>
    <row r="25" spans="1:39" ht="15" customHeight="1" thickBot="1" x14ac:dyDescent="0.3">
      <c r="A25" s="1243" t="s">
        <v>376</v>
      </c>
      <c r="B25" s="1118"/>
      <c r="C25" s="1217"/>
      <c r="D25" s="1244" t="s">
        <v>1755</v>
      </c>
      <c r="E25" s="1245" t="s">
        <v>1054</v>
      </c>
      <c r="F25" s="1246" t="s">
        <v>376</v>
      </c>
      <c r="G25" s="1247">
        <v>0</v>
      </c>
      <c r="H25" s="1244" t="s">
        <v>1751</v>
      </c>
      <c r="I25" s="1248"/>
      <c r="J25" s="1249"/>
      <c r="K25" s="1250" t="s">
        <v>275</v>
      </c>
      <c r="L25" s="1251"/>
      <c r="M25" s="1252" t="str">
        <f t="shared" si="9"/>
        <v>Tier 1</v>
      </c>
      <c r="N25" s="1253">
        <v>500000</v>
      </c>
      <c r="O25" s="1254">
        <f t="shared" si="3"/>
        <v>250023000</v>
      </c>
      <c r="P25" s="1255" t="s">
        <v>1752</v>
      </c>
      <c r="Q25" s="1256" t="s">
        <v>1695</v>
      </c>
      <c r="R25" s="1198" t="s">
        <v>275</v>
      </c>
      <c r="T25" s="1149" t="s">
        <v>1747</v>
      </c>
      <c r="U25" s="1138"/>
      <c r="W25" s="976"/>
      <c r="X25" s="976"/>
    </row>
    <row r="26" spans="1:39" ht="15" customHeight="1" x14ac:dyDescent="0.3">
      <c r="A26" s="1199" t="s">
        <v>1342</v>
      </c>
      <c r="B26" s="979">
        <v>30</v>
      </c>
      <c r="C26" s="1217" t="s">
        <v>37</v>
      </c>
      <c r="D26" s="1213" t="s">
        <v>1666</v>
      </c>
      <c r="E26" s="1201" t="s">
        <v>1480</v>
      </c>
      <c r="F26" s="1201" t="s">
        <v>1343</v>
      </c>
      <c r="G26" s="1202">
        <v>1.3366002821969698</v>
      </c>
      <c r="H26" s="1203" t="s">
        <v>672</v>
      </c>
      <c r="I26" s="1204">
        <f>VLOOKUP($A26,PRIORITIZATION!$B:$BW,68,FALSE)</f>
        <v>74.03</v>
      </c>
      <c r="J26" s="1214" t="s">
        <v>275</v>
      </c>
      <c r="K26" s="1206" t="s">
        <v>272</v>
      </c>
      <c r="L26" s="1207">
        <f>VLOOKUP($A26,'MTP_lines-polygons'!$E:$P,12,FALSE)</f>
        <v>17421201.645535681</v>
      </c>
      <c r="M26" s="1208" t="str">
        <f t="shared" si="9"/>
        <v>Tier 2</v>
      </c>
      <c r="N26" s="1209">
        <f t="shared" ref="N26:N67" si="10">ROUNDUP(VLOOKUP($M26,$T$3:$V$8,3,FALSE)*$L26,-3)</f>
        <v>23703000</v>
      </c>
      <c r="O26" s="1209">
        <f t="shared" si="3"/>
        <v>273726000</v>
      </c>
      <c r="P26" s="1201" t="s">
        <v>1705</v>
      </c>
      <c r="Q26" s="1201" t="s">
        <v>1694</v>
      </c>
      <c r="R26" s="1173" t="s">
        <v>272</v>
      </c>
      <c r="T26" s="662"/>
      <c r="U26" s="976"/>
      <c r="V26" s="1445"/>
      <c r="W26" s="1445"/>
      <c r="X26" s="1445"/>
      <c r="Y26" s="993"/>
      <c r="Z26" s="993"/>
      <c r="AA26" s="993"/>
      <c r="AB26" s="1437"/>
      <c r="AC26" s="993"/>
      <c r="AD26" s="993"/>
      <c r="AE26" s="993"/>
      <c r="AF26" s="993"/>
      <c r="AG26" s="993"/>
      <c r="AH26" s="993"/>
      <c r="AI26" s="1438"/>
      <c r="AJ26" s="1438"/>
      <c r="AK26" s="1438"/>
      <c r="AL26" s="1438"/>
      <c r="AM26" s="993"/>
    </row>
    <row r="27" spans="1:39" ht="15" customHeight="1" x14ac:dyDescent="0.3">
      <c r="A27" s="1216" t="s">
        <v>903</v>
      </c>
      <c r="B27" s="979">
        <v>26</v>
      </c>
      <c r="C27" s="1217" t="s">
        <v>37</v>
      </c>
      <c r="D27" s="1212" t="s">
        <v>1674</v>
      </c>
      <c r="E27" s="1212" t="s">
        <v>855</v>
      </c>
      <c r="F27" s="1212" t="s">
        <v>1065</v>
      </c>
      <c r="G27" s="1219">
        <v>0.42761890549242421</v>
      </c>
      <c r="H27" s="1212" t="s">
        <v>1481</v>
      </c>
      <c r="I27" s="1204">
        <f>VLOOKUP($A27,PRIORITIZATION!$B:$BW,68,FALSE)</f>
        <v>69.293333333333337</v>
      </c>
      <c r="J27" s="1220" t="s">
        <v>341</v>
      </c>
      <c r="K27" s="1221" t="s">
        <v>272</v>
      </c>
      <c r="L27" s="1222">
        <f>VLOOKUP($A27,'MTP_lines-polygons'!$E:$P,12,FALSE)</f>
        <v>6441023.735380576</v>
      </c>
      <c r="M27" s="1223" t="str">
        <f t="shared" si="9"/>
        <v>Tier 2</v>
      </c>
      <c r="N27" s="1209">
        <f t="shared" si="10"/>
        <v>8764000</v>
      </c>
      <c r="O27" s="1215">
        <f t="shared" si="3"/>
        <v>282490000</v>
      </c>
      <c r="P27" s="1212" t="s">
        <v>1712</v>
      </c>
      <c r="Q27" s="1232" t="s">
        <v>1696</v>
      </c>
      <c r="R27" s="1173"/>
      <c r="V27" s="993"/>
      <c r="W27" s="1446"/>
      <c r="X27" s="1446"/>
      <c r="Y27" s="993"/>
      <c r="Z27" s="993"/>
      <c r="AA27" s="993"/>
      <c r="AB27" s="1437"/>
      <c r="AC27" s="993"/>
      <c r="AD27" s="993"/>
      <c r="AE27" s="993"/>
      <c r="AF27" s="993"/>
      <c r="AG27" s="993"/>
      <c r="AH27" s="993"/>
      <c r="AI27" s="1439"/>
      <c r="AJ27" s="1439"/>
      <c r="AK27" s="1439"/>
      <c r="AL27" s="1439"/>
      <c r="AM27" s="993"/>
    </row>
    <row r="28" spans="1:39" ht="15" customHeight="1" x14ac:dyDescent="0.25">
      <c r="A28" s="1216" t="s">
        <v>1341</v>
      </c>
      <c r="B28" s="979">
        <v>28</v>
      </c>
      <c r="C28" s="1217" t="s">
        <v>37</v>
      </c>
      <c r="D28" s="1218" t="s">
        <v>1669</v>
      </c>
      <c r="E28" s="1212" t="s">
        <v>856</v>
      </c>
      <c r="F28" s="1212" t="s">
        <v>1633</v>
      </c>
      <c r="G28" s="1219">
        <v>1.3281909062500001</v>
      </c>
      <c r="H28" s="1212" t="s">
        <v>672</v>
      </c>
      <c r="I28" s="1204">
        <f>VLOOKUP($A28,PRIORITIZATION!$B:$BW,68,FALSE)</f>
        <v>58.010000000000005</v>
      </c>
      <c r="J28" s="1220" t="s">
        <v>275</v>
      </c>
      <c r="K28" s="1206" t="s">
        <v>272</v>
      </c>
      <c r="L28" s="1222">
        <f>VLOOKUP($A28,'MTP_lines-polygons'!$E:$P,12,FALSE)</f>
        <v>17311594.131579097</v>
      </c>
      <c r="M28" s="1223" t="str">
        <f t="shared" si="9"/>
        <v>Tier 2</v>
      </c>
      <c r="N28" s="1209">
        <f t="shared" si="10"/>
        <v>23554000</v>
      </c>
      <c r="O28" s="1215">
        <f t="shared" ref="O28:O91" si="11">O27+N28</f>
        <v>306044000</v>
      </c>
      <c r="P28" s="1201" t="s">
        <v>1705</v>
      </c>
      <c r="Q28" s="1212" t="s">
        <v>1697</v>
      </c>
      <c r="R28" s="1225"/>
      <c r="V28" s="993"/>
      <c r="W28" s="1438"/>
      <c r="X28" s="1438"/>
      <c r="Y28" s="993"/>
      <c r="Z28" s="1440"/>
      <c r="AA28" s="993"/>
      <c r="AB28" s="1440"/>
      <c r="AC28" s="1441"/>
      <c r="AD28" s="993"/>
      <c r="AE28" s="993"/>
      <c r="AF28" s="993"/>
      <c r="AG28" s="993"/>
      <c r="AH28" s="993"/>
      <c r="AI28" s="1438"/>
      <c r="AJ28" s="1438"/>
      <c r="AK28" s="1438"/>
      <c r="AL28" s="1438"/>
      <c r="AM28" s="993"/>
    </row>
    <row r="29" spans="1:39" ht="15" customHeight="1" x14ac:dyDescent="0.25">
      <c r="A29" s="1216" t="s">
        <v>924</v>
      </c>
      <c r="B29" s="979">
        <v>48</v>
      </c>
      <c r="C29" s="1217" t="s">
        <v>37</v>
      </c>
      <c r="D29" s="1218" t="s">
        <v>283</v>
      </c>
      <c r="E29" s="1212" t="s">
        <v>855</v>
      </c>
      <c r="F29" s="1212" t="s">
        <v>994</v>
      </c>
      <c r="G29" s="1219">
        <v>1.793560606060606</v>
      </c>
      <c r="H29" s="1212" t="s">
        <v>1487</v>
      </c>
      <c r="I29" s="1204">
        <f>VLOOKUP($A29,PRIORITIZATION!$B:$BW,68,FALSE)</f>
        <v>57.94</v>
      </c>
      <c r="J29" s="1220" t="s">
        <v>272</v>
      </c>
      <c r="K29" s="1206" t="s">
        <v>272</v>
      </c>
      <c r="L29" s="1222">
        <f>VLOOKUP($A29,'MTP_lines-polygons'!$E:$P,12,FALSE)</f>
        <v>6839999.9999999991</v>
      </c>
      <c r="M29" s="1223" t="str">
        <f t="shared" si="9"/>
        <v>Tier 2</v>
      </c>
      <c r="N29" s="1209">
        <f t="shared" si="10"/>
        <v>9307000</v>
      </c>
      <c r="O29" s="1215">
        <f t="shared" si="11"/>
        <v>315351000</v>
      </c>
      <c r="P29" s="1212" t="s">
        <v>1713</v>
      </c>
      <c r="Q29" s="1212" t="s">
        <v>1704</v>
      </c>
      <c r="R29" s="1225"/>
      <c r="V29" s="993"/>
      <c r="W29" s="1438"/>
      <c r="X29" s="1438"/>
      <c r="Y29" s="993"/>
      <c r="Z29" s="1440"/>
      <c r="AA29" s="993"/>
      <c r="AB29" s="1440"/>
      <c r="AC29" s="1441"/>
      <c r="AD29" s="993"/>
      <c r="AE29" s="993"/>
      <c r="AF29" s="993"/>
      <c r="AG29" s="993"/>
      <c r="AH29" s="993"/>
      <c r="AI29" s="1438"/>
      <c r="AJ29" s="1438"/>
      <c r="AK29" s="1438"/>
      <c r="AL29" s="1438"/>
      <c r="AM29" s="993"/>
    </row>
    <row r="30" spans="1:39" ht="15" customHeight="1" x14ac:dyDescent="0.25">
      <c r="A30" s="574" t="s">
        <v>1122</v>
      </c>
      <c r="B30" s="1118">
        <v>18</v>
      </c>
      <c r="C30" s="1217" t="s">
        <v>197</v>
      </c>
      <c r="D30" s="1218" t="s">
        <v>1462</v>
      </c>
      <c r="E30" s="1212" t="s">
        <v>614</v>
      </c>
      <c r="F30" s="1212" t="s">
        <v>794</v>
      </c>
      <c r="G30" s="1226">
        <v>0</v>
      </c>
      <c r="H30" s="893" t="s">
        <v>1646</v>
      </c>
      <c r="I30" s="1234">
        <f>VLOOKUP($A30,PRIORITIZATION!$B:$BW,68,FALSE)</f>
        <v>57.293333333333344</v>
      </c>
      <c r="J30" s="1227" t="s">
        <v>376</v>
      </c>
      <c r="K30" s="1221" t="s">
        <v>272</v>
      </c>
      <c r="L30" s="1222">
        <f>VLOOKUP($A30,MTP_points!$C:$K,9,FALSE)</f>
        <v>430851.96</v>
      </c>
      <c r="M30" s="1223" t="str">
        <f t="shared" si="9"/>
        <v>Tier 2</v>
      </c>
      <c r="N30" s="1209">
        <f t="shared" si="10"/>
        <v>587000</v>
      </c>
      <c r="O30" s="1215">
        <f t="shared" si="11"/>
        <v>315938000</v>
      </c>
      <c r="P30" s="1257" t="s">
        <v>1716</v>
      </c>
      <c r="Q30" s="1229" t="s">
        <v>1695</v>
      </c>
      <c r="R30" s="1225"/>
      <c r="V30" s="993"/>
      <c r="W30" s="1438"/>
      <c r="X30" s="1438"/>
      <c r="Y30" s="993"/>
      <c r="Z30" s="1440"/>
      <c r="AA30" s="993"/>
      <c r="AB30" s="1440"/>
      <c r="AC30" s="1441"/>
      <c r="AD30" s="993"/>
      <c r="AE30" s="993"/>
      <c r="AF30" s="993"/>
      <c r="AG30" s="993"/>
      <c r="AH30" s="993"/>
      <c r="AI30" s="1438"/>
      <c r="AJ30" s="1438"/>
      <c r="AK30" s="1438"/>
      <c r="AL30" s="1438"/>
      <c r="AM30" s="993"/>
    </row>
    <row r="31" spans="1:39" ht="15" customHeight="1" x14ac:dyDescent="0.25">
      <c r="A31" s="1216" t="s">
        <v>915</v>
      </c>
      <c r="B31" s="1118">
        <v>39</v>
      </c>
      <c r="C31" s="1217" t="s">
        <v>37</v>
      </c>
      <c r="D31" s="1218" t="s">
        <v>297</v>
      </c>
      <c r="E31" s="1212" t="s">
        <v>862</v>
      </c>
      <c r="F31" s="1212" t="s">
        <v>781</v>
      </c>
      <c r="G31" s="1219">
        <v>1.8453751116667727</v>
      </c>
      <c r="H31" s="1212" t="s">
        <v>1643</v>
      </c>
      <c r="I31" s="1234">
        <f>VLOOKUP($A31,PRIORITIZATION!$B:$BW,68,FALSE)</f>
        <v>55.030000000000008</v>
      </c>
      <c r="J31" s="1220" t="s">
        <v>284</v>
      </c>
      <c r="K31" s="1221" t="s">
        <v>272</v>
      </c>
      <c r="L31" s="1222">
        <f>VLOOKUP($A31,'MTP_lines-polygons'!$E:$P,12,FALSE)</f>
        <v>4560000</v>
      </c>
      <c r="M31" s="1223" t="str">
        <f t="shared" si="9"/>
        <v>Tier 2</v>
      </c>
      <c r="N31" s="1209">
        <f t="shared" si="10"/>
        <v>6205000</v>
      </c>
      <c r="O31" s="1215">
        <f t="shared" si="11"/>
        <v>322143000</v>
      </c>
      <c r="P31" s="1258" t="s">
        <v>1412</v>
      </c>
      <c r="Q31" s="1212"/>
      <c r="R31" s="1117"/>
      <c r="V31" s="993"/>
      <c r="W31" s="1438"/>
      <c r="X31" s="1438"/>
      <c r="Y31" s="993"/>
      <c r="Z31" s="1440"/>
      <c r="AA31" s="993"/>
      <c r="AB31" s="1440"/>
      <c r="AC31" s="1441"/>
      <c r="AD31" s="993"/>
      <c r="AE31" s="993"/>
      <c r="AF31" s="993"/>
      <c r="AG31" s="993"/>
      <c r="AH31" s="993"/>
      <c r="AI31" s="1438"/>
      <c r="AJ31" s="1438"/>
      <c r="AK31" s="1438"/>
      <c r="AL31" s="1438"/>
      <c r="AM31" s="993"/>
    </row>
    <row r="32" spans="1:39" ht="15" customHeight="1" x14ac:dyDescent="0.25">
      <c r="A32" s="1199" t="s">
        <v>906</v>
      </c>
      <c r="B32" s="979">
        <v>27</v>
      </c>
      <c r="C32" s="1200" t="s">
        <v>37</v>
      </c>
      <c r="D32" s="1213" t="s">
        <v>315</v>
      </c>
      <c r="E32" s="1212" t="s">
        <v>728</v>
      </c>
      <c r="F32" s="1212" t="s">
        <v>732</v>
      </c>
      <c r="G32" s="1202">
        <v>1.5615947267668751</v>
      </c>
      <c r="H32" s="1201" t="s">
        <v>1487</v>
      </c>
      <c r="I32" s="1204">
        <f>VLOOKUP($A32,PRIORITIZATION!$B:$BW,68,FALSE)</f>
        <v>54.29</v>
      </c>
      <c r="J32" s="1214" t="s">
        <v>275</v>
      </c>
      <c r="K32" s="1221" t="s">
        <v>272</v>
      </c>
      <c r="L32" s="1207">
        <f>VLOOKUP($A32,'MTP_lines-polygons'!$E:$P,12,FALSE)</f>
        <v>13679999.999999998</v>
      </c>
      <c r="M32" s="1208" t="str">
        <f t="shared" si="9"/>
        <v>Tier 2</v>
      </c>
      <c r="N32" s="1209">
        <f t="shared" si="10"/>
        <v>18613000</v>
      </c>
      <c r="O32" s="1215">
        <f t="shared" si="11"/>
        <v>340756000</v>
      </c>
      <c r="P32" s="1201" t="s">
        <v>1714</v>
      </c>
      <c r="Q32" s="1212" t="s">
        <v>1704</v>
      </c>
      <c r="R32" s="1173"/>
      <c r="V32" s="993"/>
      <c r="W32" s="1438"/>
      <c r="X32" s="1438"/>
      <c r="Y32" s="993"/>
      <c r="Z32" s="993"/>
      <c r="AA32" s="993"/>
      <c r="AB32" s="1440"/>
      <c r="AC32" s="1441"/>
      <c r="AD32" s="993"/>
      <c r="AE32" s="993"/>
      <c r="AF32" s="993"/>
      <c r="AG32" s="993"/>
      <c r="AH32" s="993"/>
      <c r="AI32" s="1438"/>
      <c r="AJ32" s="1438"/>
      <c r="AK32" s="1438"/>
      <c r="AL32" s="1438"/>
      <c r="AM32" s="993"/>
    </row>
    <row r="33" spans="1:39" ht="15" customHeight="1" x14ac:dyDescent="0.25">
      <c r="A33" s="1199" t="s">
        <v>919</v>
      </c>
      <c r="B33" s="979">
        <v>43</v>
      </c>
      <c r="C33" s="1200" t="s">
        <v>37</v>
      </c>
      <c r="D33" s="1213" t="s">
        <v>1084</v>
      </c>
      <c r="E33" s="1212" t="s">
        <v>794</v>
      </c>
      <c r="F33" s="1212" t="s">
        <v>656</v>
      </c>
      <c r="G33" s="1202">
        <v>1.2406098498388862</v>
      </c>
      <c r="H33" s="1201" t="s">
        <v>1481</v>
      </c>
      <c r="I33" s="1204">
        <f>VLOOKUP($A33,PRIORITIZATION!$B:$BW,68,FALSE)</f>
        <v>53.496666666666663</v>
      </c>
      <c r="J33" s="1214" t="s">
        <v>272</v>
      </c>
      <c r="K33" s="1206" t="s">
        <v>272</v>
      </c>
      <c r="L33" s="1222">
        <f>VLOOKUP($A33,'MTP_lines-polygons'!$E:$P,12,FALSE)</f>
        <v>6839999.9999999991</v>
      </c>
      <c r="M33" s="1208" t="str">
        <f t="shared" si="9"/>
        <v>Tier 2</v>
      </c>
      <c r="N33" s="1209">
        <f t="shared" si="10"/>
        <v>9307000</v>
      </c>
      <c r="O33" s="1215">
        <f t="shared" si="11"/>
        <v>350063000</v>
      </c>
      <c r="P33" s="1201" t="s">
        <v>1735</v>
      </c>
      <c r="Q33" s="1212" t="s">
        <v>1704</v>
      </c>
      <c r="R33" s="1173"/>
      <c r="V33" s="993"/>
      <c r="W33" s="993"/>
      <c r="X33" s="1438"/>
      <c r="Y33" s="993"/>
      <c r="Z33" s="993"/>
      <c r="AA33" s="993"/>
      <c r="AB33" s="1440"/>
      <c r="AC33" s="1441"/>
      <c r="AD33" s="993"/>
      <c r="AE33" s="993"/>
      <c r="AF33" s="993"/>
      <c r="AG33" s="993"/>
      <c r="AH33" s="993"/>
      <c r="AI33" s="1438"/>
      <c r="AJ33" s="1438"/>
      <c r="AK33" s="1438"/>
      <c r="AL33" s="1438"/>
      <c r="AM33" s="993"/>
    </row>
    <row r="34" spans="1:39" ht="15" customHeight="1" x14ac:dyDescent="0.25">
      <c r="A34" s="573" t="s">
        <v>1123</v>
      </c>
      <c r="B34" s="979">
        <v>19</v>
      </c>
      <c r="C34" s="1200" t="s">
        <v>197</v>
      </c>
      <c r="D34" s="1213" t="s">
        <v>1463</v>
      </c>
      <c r="E34" s="1212" t="s">
        <v>1377</v>
      </c>
      <c r="F34" s="1212" t="s">
        <v>1004</v>
      </c>
      <c r="G34" s="1233">
        <v>0</v>
      </c>
      <c r="H34" s="1203" t="s">
        <v>1646</v>
      </c>
      <c r="I34" s="1204">
        <f>VLOOKUP($A34,PRIORITIZATION!$B:$BW,68,FALSE)</f>
        <v>52.860000000000007</v>
      </c>
      <c r="J34" s="1205" t="s">
        <v>376</v>
      </c>
      <c r="K34" s="1221" t="s">
        <v>272</v>
      </c>
      <c r="L34" s="1222">
        <f>VLOOKUP($A34,MTP_points!$C:$K,9,FALSE)</f>
        <v>430851.96</v>
      </c>
      <c r="M34" s="1208" t="str">
        <f t="shared" si="9"/>
        <v>Tier 2</v>
      </c>
      <c r="N34" s="1209">
        <f t="shared" si="10"/>
        <v>587000</v>
      </c>
      <c r="O34" s="1215">
        <f t="shared" si="11"/>
        <v>350650000</v>
      </c>
      <c r="P34" s="1259" t="s">
        <v>1716</v>
      </c>
      <c r="Q34" s="1229" t="s">
        <v>1695</v>
      </c>
      <c r="R34" s="1225"/>
      <c r="V34" s="993"/>
      <c r="W34" s="993"/>
      <c r="X34" s="993"/>
      <c r="Y34" s="993"/>
      <c r="Z34" s="993"/>
      <c r="AA34" s="993"/>
      <c r="AB34" s="1440"/>
      <c r="AC34" s="1441"/>
      <c r="AD34" s="993"/>
      <c r="AE34" s="993"/>
      <c r="AF34" s="993"/>
      <c r="AG34" s="993"/>
      <c r="AH34" s="993"/>
      <c r="AI34" s="1438"/>
      <c r="AJ34" s="1438"/>
      <c r="AK34" s="1438"/>
      <c r="AL34" s="1438"/>
      <c r="AM34" s="993"/>
    </row>
    <row r="35" spans="1:39" ht="15" customHeight="1" x14ac:dyDescent="0.3">
      <c r="A35" s="574" t="s">
        <v>1126</v>
      </c>
      <c r="B35" s="979">
        <v>22</v>
      </c>
      <c r="C35" s="1217" t="s">
        <v>197</v>
      </c>
      <c r="D35" s="893" t="s">
        <v>1466</v>
      </c>
      <c r="E35" s="1212" t="s">
        <v>1374</v>
      </c>
      <c r="F35" s="1212" t="s">
        <v>794</v>
      </c>
      <c r="G35" s="1260">
        <v>0</v>
      </c>
      <c r="H35" s="893" t="s">
        <v>1646</v>
      </c>
      <c r="I35" s="1204">
        <f>VLOOKUP($A35,PRIORITIZATION!$B:$BW,68,FALSE)</f>
        <v>52.56333333333334</v>
      </c>
      <c r="J35" s="1227"/>
      <c r="K35" s="1221" t="s">
        <v>272</v>
      </c>
      <c r="L35" s="1222">
        <f>VLOOKUP($A35,MTP_points!$C:$K,9,FALSE)</f>
        <v>104151.96000000002</v>
      </c>
      <c r="M35" s="1223" t="str">
        <f t="shared" si="9"/>
        <v>Tier 2</v>
      </c>
      <c r="N35" s="1209">
        <f t="shared" si="10"/>
        <v>142000</v>
      </c>
      <c r="O35" s="1215">
        <f t="shared" si="11"/>
        <v>350792000</v>
      </c>
      <c r="P35" s="1228" t="s">
        <v>1717</v>
      </c>
      <c r="Q35" s="1228"/>
      <c r="R35" s="1173"/>
      <c r="V35" s="993"/>
      <c r="W35" s="993"/>
      <c r="X35" s="993"/>
      <c r="Y35" s="993"/>
      <c r="Z35" s="993"/>
      <c r="AA35" s="993"/>
      <c r="AB35" s="1442"/>
      <c r="AC35" s="993"/>
      <c r="AD35" s="993"/>
      <c r="AE35" s="993"/>
      <c r="AF35" s="993"/>
      <c r="AG35" s="993"/>
      <c r="AH35" s="993"/>
      <c r="AI35" s="1438"/>
      <c r="AJ35" s="1438"/>
      <c r="AK35" s="1438"/>
      <c r="AL35" s="1438"/>
      <c r="AM35" s="993"/>
    </row>
    <row r="36" spans="1:39" ht="15" customHeight="1" x14ac:dyDescent="0.3">
      <c r="A36" s="1216" t="s">
        <v>947</v>
      </c>
      <c r="B36" s="979">
        <v>65</v>
      </c>
      <c r="C36" s="1217" t="s">
        <v>37</v>
      </c>
      <c r="D36" s="1218" t="s">
        <v>996</v>
      </c>
      <c r="E36" s="1212" t="s">
        <v>995</v>
      </c>
      <c r="F36" s="1212" t="s">
        <v>1628</v>
      </c>
      <c r="G36" s="1219">
        <v>1.794985131534091</v>
      </c>
      <c r="H36" s="1212" t="s">
        <v>672</v>
      </c>
      <c r="I36" s="1204">
        <f>VLOOKUP($A36,PRIORITIZATION!$B:$BW,68,FALSE)</f>
        <v>52.026666666666664</v>
      </c>
      <c r="J36" s="1220" t="s">
        <v>376</v>
      </c>
      <c r="K36" s="1221" t="s">
        <v>272</v>
      </c>
      <c r="L36" s="1222">
        <f>VLOOKUP($A36,'MTP_lines-polygons'!$E:$P,12,FALSE)</f>
        <v>6066220.0312865255</v>
      </c>
      <c r="M36" s="1223" t="str">
        <f t="shared" si="9"/>
        <v>Tier 2</v>
      </c>
      <c r="N36" s="1209">
        <f t="shared" si="10"/>
        <v>8254000</v>
      </c>
      <c r="O36" s="1215">
        <f t="shared" si="11"/>
        <v>359046000</v>
      </c>
      <c r="P36" s="1212" t="s">
        <v>1718</v>
      </c>
      <c r="Q36" s="1212" t="s">
        <v>1704</v>
      </c>
      <c r="R36" s="1225"/>
      <c r="V36" s="993"/>
      <c r="W36" s="1447"/>
      <c r="X36" s="993"/>
      <c r="Y36" s="993"/>
      <c r="Z36" s="993"/>
      <c r="AA36" s="993"/>
      <c r="AB36" s="1437"/>
      <c r="AC36" s="993"/>
      <c r="AD36" s="993"/>
      <c r="AE36" s="993"/>
      <c r="AF36" s="993"/>
      <c r="AG36" s="993"/>
      <c r="AH36" s="993"/>
      <c r="AI36" s="1438"/>
      <c r="AJ36" s="1438"/>
      <c r="AK36" s="1438"/>
      <c r="AL36" s="1438"/>
      <c r="AM36" s="993"/>
    </row>
    <row r="37" spans="1:39" ht="15" customHeight="1" x14ac:dyDescent="0.3">
      <c r="A37" s="1216" t="s">
        <v>985</v>
      </c>
      <c r="B37" s="979">
        <v>29</v>
      </c>
      <c r="C37" s="1217" t="s">
        <v>37</v>
      </c>
      <c r="D37" s="1218" t="s">
        <v>1670</v>
      </c>
      <c r="E37" s="1212" t="s">
        <v>1633</v>
      </c>
      <c r="F37" s="1212" t="s">
        <v>1480</v>
      </c>
      <c r="G37" s="1219">
        <v>0.4839052503787879</v>
      </c>
      <c r="H37" s="1212" t="s">
        <v>672</v>
      </c>
      <c r="I37" s="1204">
        <f>VLOOKUP($A37,PRIORITIZATION!$B:$BW,68,FALSE)</f>
        <v>51.656666666666666</v>
      </c>
      <c r="J37" s="1220" t="s">
        <v>275</v>
      </c>
      <c r="K37" s="1206" t="s">
        <v>272</v>
      </c>
      <c r="L37" s="1222">
        <f>VLOOKUP($A37,'MTP_lines-polygons'!$E:$P,12,FALSE)</f>
        <v>6307204.2228852138</v>
      </c>
      <c r="M37" s="1223" t="str">
        <f t="shared" si="9"/>
        <v>Tier 2</v>
      </c>
      <c r="N37" s="1209">
        <f t="shared" si="10"/>
        <v>8582000</v>
      </c>
      <c r="O37" s="1215">
        <f t="shared" si="11"/>
        <v>367628000</v>
      </c>
      <c r="P37" s="1212" t="s">
        <v>1705</v>
      </c>
      <c r="Q37" s="1212" t="s">
        <v>1697</v>
      </c>
      <c r="R37" s="1225"/>
      <c r="V37" s="993"/>
      <c r="W37" s="1439"/>
      <c r="X37" s="993"/>
      <c r="Y37" s="993"/>
      <c r="Z37" s="993"/>
      <c r="AA37" s="993"/>
      <c r="AB37" s="1437"/>
      <c r="AC37" s="993"/>
      <c r="AD37" s="993"/>
      <c r="AE37" s="993"/>
      <c r="AF37" s="993"/>
      <c r="AG37" s="993"/>
      <c r="AH37" s="993"/>
      <c r="AI37" s="1438"/>
      <c r="AJ37" s="1438"/>
      <c r="AK37" s="1438"/>
      <c r="AL37" s="1438"/>
      <c r="AM37" s="993"/>
    </row>
    <row r="38" spans="1:39" ht="15" customHeight="1" x14ac:dyDescent="0.3">
      <c r="A38" s="574" t="s">
        <v>1124</v>
      </c>
      <c r="B38" s="979">
        <v>20</v>
      </c>
      <c r="C38" s="1217" t="s">
        <v>197</v>
      </c>
      <c r="D38" s="1218" t="s">
        <v>589</v>
      </c>
      <c r="E38" s="1212" t="s">
        <v>614</v>
      </c>
      <c r="F38" s="1212" t="s">
        <v>839</v>
      </c>
      <c r="G38" s="1226">
        <v>0</v>
      </c>
      <c r="H38" s="893" t="s">
        <v>1646</v>
      </c>
      <c r="I38" s="1204">
        <f>VLOOKUP($A38,PRIORITIZATION!$B:$BW,68,FALSE)</f>
        <v>49.863333333333337</v>
      </c>
      <c r="J38" s="1220" t="s">
        <v>275</v>
      </c>
      <c r="K38" s="1221" t="s">
        <v>272</v>
      </c>
      <c r="L38" s="1222">
        <f>VLOOKUP($A38,MTP_points!$C:$K,9,FALSE)</f>
        <v>3419999.9999999995</v>
      </c>
      <c r="M38" s="1223" t="str">
        <f t="shared" si="9"/>
        <v>Tier 2</v>
      </c>
      <c r="N38" s="1209">
        <f t="shared" si="10"/>
        <v>4654000</v>
      </c>
      <c r="O38" s="1215">
        <f t="shared" si="11"/>
        <v>372282000</v>
      </c>
      <c r="P38" s="1224" t="s">
        <v>1722</v>
      </c>
      <c r="Q38" s="1229" t="s">
        <v>1695</v>
      </c>
      <c r="R38" s="1225"/>
      <c r="V38" s="993"/>
      <c r="W38" s="993"/>
      <c r="X38" s="993"/>
      <c r="Y38" s="993"/>
      <c r="Z38" s="993"/>
      <c r="AA38" s="993"/>
      <c r="AB38" s="1437"/>
      <c r="AC38" s="993"/>
      <c r="AD38" s="993"/>
      <c r="AE38" s="993"/>
      <c r="AF38" s="993"/>
      <c r="AG38" s="993"/>
      <c r="AH38" s="993"/>
      <c r="AI38" s="1438"/>
      <c r="AJ38" s="1438"/>
      <c r="AK38" s="1438"/>
      <c r="AL38" s="1438"/>
      <c r="AM38" s="993"/>
    </row>
    <row r="39" spans="1:39" ht="15" customHeight="1" x14ac:dyDescent="0.3">
      <c r="A39" s="1216" t="s">
        <v>1127</v>
      </c>
      <c r="B39" s="979">
        <v>23</v>
      </c>
      <c r="C39" s="1217" t="s">
        <v>197</v>
      </c>
      <c r="D39" s="1218" t="s">
        <v>1467</v>
      </c>
      <c r="E39" s="1212" t="s">
        <v>1349</v>
      </c>
      <c r="F39" s="1212" t="s">
        <v>1005</v>
      </c>
      <c r="G39" s="1219">
        <v>0</v>
      </c>
      <c r="H39" s="1212" t="s">
        <v>1646</v>
      </c>
      <c r="I39" s="1204">
        <f>VLOOKUP($A39,PRIORITIZATION!$B:$BW,68,FALSE)</f>
        <v>49.643333333333331</v>
      </c>
      <c r="J39" s="1220" t="s">
        <v>376</v>
      </c>
      <c r="K39" s="1221" t="s">
        <v>272</v>
      </c>
      <c r="L39" s="1222">
        <f>VLOOKUP($A39,MTP_points!$C:$K,9,FALSE)</f>
        <v>247115.88</v>
      </c>
      <c r="M39" s="1223" t="str">
        <f t="shared" si="9"/>
        <v>Tier 2</v>
      </c>
      <c r="N39" s="1209">
        <f t="shared" si="10"/>
        <v>337000</v>
      </c>
      <c r="O39" s="1215">
        <f t="shared" si="11"/>
        <v>372619000</v>
      </c>
      <c r="P39" s="1212" t="s">
        <v>1723</v>
      </c>
      <c r="Q39" s="1212" t="s">
        <v>986</v>
      </c>
      <c r="R39" s="1173"/>
      <c r="AB39" s="1437"/>
      <c r="AC39" s="993"/>
      <c r="AD39" s="993"/>
      <c r="AE39" s="993"/>
      <c r="AF39" s="993"/>
      <c r="AG39" s="993"/>
      <c r="AH39" s="993"/>
      <c r="AI39" s="1438"/>
      <c r="AJ39" s="1438"/>
      <c r="AK39" s="1438"/>
      <c r="AL39" s="1438"/>
      <c r="AM39" s="993"/>
    </row>
    <row r="40" spans="1:39" ht="15" customHeight="1" x14ac:dyDescent="0.3">
      <c r="A40" s="1216" t="s">
        <v>923</v>
      </c>
      <c r="B40" s="979">
        <v>47</v>
      </c>
      <c r="C40" s="1217" t="s">
        <v>37</v>
      </c>
      <c r="D40" s="1218" t="s">
        <v>972</v>
      </c>
      <c r="E40" s="1212" t="s">
        <v>728</v>
      </c>
      <c r="F40" s="1212" t="s">
        <v>855</v>
      </c>
      <c r="G40" s="1219">
        <v>0.79629176393840906</v>
      </c>
      <c r="H40" s="1212" t="s">
        <v>1481</v>
      </c>
      <c r="I40" s="1204">
        <f>VLOOKUP($A40,PRIORITIZATION!$B:$BW,68,FALSE)</f>
        <v>49.09</v>
      </c>
      <c r="J40" s="1220" t="s">
        <v>284</v>
      </c>
      <c r="K40" s="1221" t="s">
        <v>272</v>
      </c>
      <c r="L40" s="1222">
        <f>VLOOKUP($A40,'MTP_lines-polygons'!$E:$P,12,FALSE)</f>
        <v>3000000</v>
      </c>
      <c r="M40" s="1223" t="str">
        <f t="shared" si="9"/>
        <v>Tier 2</v>
      </c>
      <c r="N40" s="1209">
        <f t="shared" si="10"/>
        <v>4082000</v>
      </c>
      <c r="O40" s="1215">
        <f t="shared" si="11"/>
        <v>376701000</v>
      </c>
      <c r="P40" s="1212" t="s">
        <v>1724</v>
      </c>
      <c r="Q40" s="1212" t="s">
        <v>1704</v>
      </c>
      <c r="R40" s="1225"/>
      <c r="AB40" s="1437"/>
      <c r="AC40" s="993"/>
      <c r="AD40" s="993"/>
      <c r="AE40" s="993"/>
      <c r="AF40" s="993"/>
      <c r="AG40" s="993"/>
      <c r="AH40" s="993"/>
      <c r="AI40" s="1438"/>
      <c r="AJ40" s="1438"/>
      <c r="AK40" s="1439"/>
      <c r="AL40" s="1438"/>
      <c r="AM40" s="993"/>
    </row>
    <row r="41" spans="1:39" ht="15" customHeight="1" x14ac:dyDescent="0.3">
      <c r="A41" s="574" t="s">
        <v>1128</v>
      </c>
      <c r="B41" s="979">
        <v>24</v>
      </c>
      <c r="C41" s="1217" t="s">
        <v>197</v>
      </c>
      <c r="D41" s="1218" t="s">
        <v>1468</v>
      </c>
      <c r="E41" s="1212" t="s">
        <v>1349</v>
      </c>
      <c r="F41" s="1212" t="s">
        <v>614</v>
      </c>
      <c r="G41" s="1226">
        <v>0</v>
      </c>
      <c r="H41" s="1218" t="s">
        <v>1646</v>
      </c>
      <c r="I41" s="1204">
        <f>VLOOKUP($A41,PRIORITIZATION!$B:$BW,68,FALSE)</f>
        <v>46.773333333333341</v>
      </c>
      <c r="J41" s="1227" t="s">
        <v>376</v>
      </c>
      <c r="K41" s="1221" t="s">
        <v>272</v>
      </c>
      <c r="L41" s="1222">
        <f>VLOOKUP($A41,MTP_points!$C:$K,9,FALSE)</f>
        <v>293049.90000000002</v>
      </c>
      <c r="M41" s="1223" t="str">
        <f t="shared" si="9"/>
        <v>Tier 2</v>
      </c>
      <c r="N41" s="1209">
        <f t="shared" si="10"/>
        <v>399000</v>
      </c>
      <c r="O41" s="1215">
        <f t="shared" si="11"/>
        <v>377100000</v>
      </c>
      <c r="P41" s="1228" t="s">
        <v>1725</v>
      </c>
      <c r="Q41" s="1228" t="s">
        <v>1704</v>
      </c>
      <c r="R41" s="1225"/>
      <c r="AB41" s="1437"/>
      <c r="AC41" s="993"/>
      <c r="AD41" s="993"/>
      <c r="AE41" s="993"/>
      <c r="AF41" s="993"/>
      <c r="AG41" s="993"/>
      <c r="AH41" s="993"/>
      <c r="AI41" s="1438"/>
      <c r="AJ41" s="1438"/>
      <c r="AK41" s="1443"/>
      <c r="AL41" s="1438"/>
      <c r="AM41" s="993"/>
    </row>
    <row r="42" spans="1:39" ht="15" customHeight="1" x14ac:dyDescent="0.3">
      <c r="A42" s="574" t="s">
        <v>1113</v>
      </c>
      <c r="B42" s="979">
        <v>10</v>
      </c>
      <c r="C42" s="1217" t="s">
        <v>197</v>
      </c>
      <c r="D42" s="1218" t="s">
        <v>1454</v>
      </c>
      <c r="E42" s="1212" t="s">
        <v>1632</v>
      </c>
      <c r="F42" s="1212" t="s">
        <v>536</v>
      </c>
      <c r="G42" s="1226">
        <v>0</v>
      </c>
      <c r="H42" s="1218" t="s">
        <v>1049</v>
      </c>
      <c r="I42" s="1204">
        <f>VLOOKUP($A42,PRIORITIZATION!$B:$BW,68,FALSE)</f>
        <v>44.79</v>
      </c>
      <c r="J42" s="1227" t="s">
        <v>376</v>
      </c>
      <c r="K42" s="1206" t="s">
        <v>272</v>
      </c>
      <c r="L42" s="1222">
        <f>VLOOKUP($A42,MTP_points!$C:$K,9,FALSE)</f>
        <v>1946478.6</v>
      </c>
      <c r="M42" s="1223" t="str">
        <f t="shared" si="9"/>
        <v>Tier 2</v>
      </c>
      <c r="N42" s="1209">
        <f t="shared" si="10"/>
        <v>2649000</v>
      </c>
      <c r="O42" s="1215">
        <f t="shared" si="11"/>
        <v>379749000</v>
      </c>
      <c r="P42" s="1261" t="s">
        <v>1727</v>
      </c>
      <c r="Q42" s="1228" t="s">
        <v>986</v>
      </c>
      <c r="R42" s="1225"/>
      <c r="AB42" s="1437"/>
      <c r="AC42" s="993"/>
      <c r="AD42" s="993"/>
      <c r="AE42" s="993"/>
      <c r="AF42" s="993"/>
      <c r="AG42" s="993"/>
      <c r="AH42" s="993"/>
      <c r="AI42" s="1438"/>
      <c r="AJ42" s="1438"/>
      <c r="AK42" s="1438"/>
      <c r="AL42" s="1438"/>
      <c r="AM42" s="993"/>
    </row>
    <row r="43" spans="1:39" ht="15" customHeight="1" x14ac:dyDescent="0.3">
      <c r="A43" s="574" t="s">
        <v>1360</v>
      </c>
      <c r="B43" s="979">
        <v>73</v>
      </c>
      <c r="C43" s="1217" t="s">
        <v>37</v>
      </c>
      <c r="D43" s="1218" t="s">
        <v>1362</v>
      </c>
      <c r="E43" s="1212" t="s">
        <v>782</v>
      </c>
      <c r="F43" s="1212" t="s">
        <v>871</v>
      </c>
      <c r="G43" s="1219">
        <v>0.42492694147727272</v>
      </c>
      <c r="H43" s="893" t="s">
        <v>1643</v>
      </c>
      <c r="I43" s="1204">
        <f>VLOOKUP($A43,PRIORITIZATION!$B:$BW,68,FALSE)</f>
        <v>44.3</v>
      </c>
      <c r="J43" s="1227" t="s">
        <v>376</v>
      </c>
      <c r="K43" s="1221" t="s">
        <v>272</v>
      </c>
      <c r="L43" s="1222">
        <f>VLOOKUP($A43,'MTP_lines-polygons'!$E:$P,12,FALSE)</f>
        <v>2500000</v>
      </c>
      <c r="M43" s="1223" t="str">
        <f t="shared" si="9"/>
        <v>Tier 2</v>
      </c>
      <c r="N43" s="1209">
        <f t="shared" si="10"/>
        <v>3402000</v>
      </c>
      <c r="O43" s="1215">
        <f t="shared" si="11"/>
        <v>383151000</v>
      </c>
      <c r="P43" s="1228" t="s">
        <v>1728</v>
      </c>
      <c r="Q43" s="1228" t="s">
        <v>1379</v>
      </c>
      <c r="R43" s="1225"/>
      <c r="AB43" s="1437"/>
      <c r="AC43" s="993"/>
      <c r="AD43" s="993"/>
      <c r="AE43" s="993"/>
      <c r="AF43" s="993"/>
      <c r="AG43" s="993"/>
      <c r="AH43" s="993"/>
      <c r="AI43" s="1439"/>
      <c r="AJ43" s="1438"/>
      <c r="AK43" s="1438"/>
      <c r="AL43" s="1438"/>
      <c r="AM43" s="993"/>
    </row>
    <row r="44" spans="1:39" ht="15" customHeight="1" x14ac:dyDescent="0.3">
      <c r="A44" s="1216" t="s">
        <v>927</v>
      </c>
      <c r="B44" s="979">
        <v>52</v>
      </c>
      <c r="C44" s="1217" t="s">
        <v>37</v>
      </c>
      <c r="D44" s="1218" t="s">
        <v>277</v>
      </c>
      <c r="E44" s="1212" t="s">
        <v>869</v>
      </c>
      <c r="F44" s="1212" t="s">
        <v>870</v>
      </c>
      <c r="G44" s="1219">
        <v>2.148706167117159</v>
      </c>
      <c r="H44" s="1212" t="s">
        <v>1645</v>
      </c>
      <c r="I44" s="1204">
        <f>VLOOKUP($A44,PRIORITIZATION!$B:$BW,68,FALSE)</f>
        <v>43.906666666666666</v>
      </c>
      <c r="J44" s="1220" t="s">
        <v>275</v>
      </c>
      <c r="K44" s="1221" t="s">
        <v>272</v>
      </c>
      <c r="L44" s="1222">
        <f>VLOOKUP($A44,'MTP_lines-polygons'!$E:$P,12,FALSE)</f>
        <v>1140000</v>
      </c>
      <c r="M44" s="1223" t="str">
        <f t="shared" si="9"/>
        <v>Tier 2</v>
      </c>
      <c r="N44" s="1209">
        <f t="shared" si="10"/>
        <v>1552000</v>
      </c>
      <c r="O44" s="1215">
        <f t="shared" si="11"/>
        <v>384703000</v>
      </c>
      <c r="P44" s="1212" t="s">
        <v>1729</v>
      </c>
      <c r="Q44" s="1212" t="s">
        <v>1704</v>
      </c>
      <c r="R44" s="1225"/>
      <c r="AB44" s="1437"/>
      <c r="AC44" s="993"/>
      <c r="AD44" s="993"/>
      <c r="AE44" s="993"/>
      <c r="AF44" s="993"/>
      <c r="AG44" s="993"/>
      <c r="AH44" s="993"/>
      <c r="AI44" s="1443"/>
      <c r="AJ44" s="1438"/>
      <c r="AK44" s="1438"/>
      <c r="AL44" s="1438"/>
      <c r="AM44" s="993"/>
    </row>
    <row r="45" spans="1:39" ht="15" customHeight="1" x14ac:dyDescent="0.3">
      <c r="A45" s="574" t="s">
        <v>1112</v>
      </c>
      <c r="B45" s="979">
        <v>9</v>
      </c>
      <c r="C45" s="1217" t="s">
        <v>197</v>
      </c>
      <c r="D45" s="1218" t="s">
        <v>1453</v>
      </c>
      <c r="E45" s="1212" t="s">
        <v>728</v>
      </c>
      <c r="F45" s="1212" t="s">
        <v>475</v>
      </c>
      <c r="G45" s="1226">
        <v>0</v>
      </c>
      <c r="H45" s="1218" t="s">
        <v>1049</v>
      </c>
      <c r="I45" s="1204">
        <f>VLOOKUP($A45,PRIORITIZATION!$B:$BW,68,FALSE)</f>
        <v>43.776666666666671</v>
      </c>
      <c r="J45" s="1227" t="s">
        <v>376</v>
      </c>
      <c r="K45" s="1221" t="s">
        <v>272</v>
      </c>
      <c r="L45" s="1222">
        <f>VLOOKUP($A45,MTP_points!$C:$K,9,FALSE)</f>
        <v>1258041.5100000002</v>
      </c>
      <c r="M45" s="1223" t="str">
        <f t="shared" si="9"/>
        <v>Tier 2</v>
      </c>
      <c r="N45" s="1209">
        <f t="shared" si="10"/>
        <v>1712000</v>
      </c>
      <c r="O45" s="1215">
        <f t="shared" si="11"/>
        <v>386415000</v>
      </c>
      <c r="P45" s="1228" t="s">
        <v>1730</v>
      </c>
      <c r="Q45" s="1228" t="s">
        <v>1698</v>
      </c>
      <c r="R45" s="1173"/>
      <c r="AB45" s="1437"/>
      <c r="AC45" s="993"/>
      <c r="AD45" s="993"/>
      <c r="AE45" s="993"/>
      <c r="AF45" s="993"/>
      <c r="AG45" s="993"/>
      <c r="AH45" s="993"/>
      <c r="AI45" s="1438"/>
      <c r="AJ45" s="1438"/>
      <c r="AK45" s="1438"/>
      <c r="AL45" s="1438"/>
      <c r="AM45" s="993"/>
    </row>
    <row r="46" spans="1:39" ht="15" customHeight="1" x14ac:dyDescent="0.3">
      <c r="A46" s="574" t="s">
        <v>1110</v>
      </c>
      <c r="B46" s="979">
        <v>7</v>
      </c>
      <c r="C46" s="1217" t="s">
        <v>197</v>
      </c>
      <c r="D46" s="1218" t="s">
        <v>1451</v>
      </c>
      <c r="E46" s="1212" t="s">
        <v>614</v>
      </c>
      <c r="F46" s="1212" t="s">
        <v>1630</v>
      </c>
      <c r="G46" s="1226">
        <v>0</v>
      </c>
      <c r="H46" s="1218" t="s">
        <v>1049</v>
      </c>
      <c r="I46" s="1204">
        <f>VLOOKUP($A46,PRIORITIZATION!$B:$BW,68,FALSE)</f>
        <v>42.126666666666672</v>
      </c>
      <c r="J46" s="1227" t="s">
        <v>376</v>
      </c>
      <c r="K46" s="1221" t="s">
        <v>272</v>
      </c>
      <c r="L46" s="1222">
        <f>VLOOKUP($A46,MTP_points!$C:$K,9,FALSE)</f>
        <v>632850.56999999995</v>
      </c>
      <c r="M46" s="1223" t="str">
        <f t="shared" si="9"/>
        <v>Tier 2</v>
      </c>
      <c r="N46" s="1209">
        <f t="shared" si="10"/>
        <v>862000</v>
      </c>
      <c r="O46" s="1215">
        <f t="shared" si="11"/>
        <v>387277000</v>
      </c>
      <c r="P46" s="1228" t="s">
        <v>1731</v>
      </c>
      <c r="Q46" s="1229" t="s">
        <v>1695</v>
      </c>
      <c r="R46" s="1173"/>
      <c r="AB46" s="1437"/>
      <c r="AC46" s="993"/>
      <c r="AD46" s="993"/>
      <c r="AE46" s="993"/>
      <c r="AF46" s="993"/>
      <c r="AG46" s="993"/>
      <c r="AH46" s="993"/>
      <c r="AI46" s="1438"/>
      <c r="AJ46" s="1438"/>
      <c r="AK46" s="1438"/>
      <c r="AL46" s="1438"/>
      <c r="AM46" s="993"/>
    </row>
    <row r="47" spans="1:39" ht="15" customHeight="1" x14ac:dyDescent="0.3">
      <c r="A47" s="574" t="s">
        <v>1129</v>
      </c>
      <c r="B47" s="979">
        <v>25</v>
      </c>
      <c r="C47" s="1217" t="s">
        <v>197</v>
      </c>
      <c r="D47" s="1218" t="s">
        <v>1469</v>
      </c>
      <c r="E47" s="1212" t="s">
        <v>614</v>
      </c>
      <c r="F47" s="1212" t="s">
        <v>839</v>
      </c>
      <c r="G47" s="1226">
        <v>0</v>
      </c>
      <c r="H47" s="1218" t="s">
        <v>1646</v>
      </c>
      <c r="I47" s="1234">
        <f>VLOOKUP($A47,PRIORITIZATION!$B:$BW,68,FALSE)</f>
        <v>41.743333333333332</v>
      </c>
      <c r="J47" s="1227" t="s">
        <v>376</v>
      </c>
      <c r="K47" s="1221" t="s">
        <v>272</v>
      </c>
      <c r="L47" s="1222">
        <f>VLOOKUP($A47,MTP_points!$C:$K,9,FALSE)</f>
        <v>290468.97000000003</v>
      </c>
      <c r="M47" s="1223" t="str">
        <f t="shared" si="9"/>
        <v>Tier 2</v>
      </c>
      <c r="N47" s="1209">
        <f t="shared" si="10"/>
        <v>396000</v>
      </c>
      <c r="O47" s="1215">
        <f t="shared" si="11"/>
        <v>387673000</v>
      </c>
      <c r="P47" s="1228" t="s">
        <v>1732</v>
      </c>
      <c r="Q47" s="1229" t="s">
        <v>1695</v>
      </c>
      <c r="R47" s="1225"/>
      <c r="AB47" s="1437"/>
      <c r="AC47" s="993"/>
      <c r="AD47" s="993"/>
      <c r="AE47" s="993"/>
      <c r="AF47" s="993"/>
      <c r="AG47" s="993"/>
      <c r="AH47" s="993"/>
      <c r="AI47" s="1438"/>
      <c r="AJ47" s="1438"/>
      <c r="AK47" s="1438"/>
      <c r="AL47" s="1438"/>
      <c r="AM47" s="993"/>
    </row>
    <row r="48" spans="1:39" ht="15" customHeight="1" x14ac:dyDescent="0.3">
      <c r="A48" s="574" t="s">
        <v>1114</v>
      </c>
      <c r="B48" s="979">
        <v>11</v>
      </c>
      <c r="C48" s="1217" t="s">
        <v>197</v>
      </c>
      <c r="D48" s="1218" t="s">
        <v>1455</v>
      </c>
      <c r="E48" s="1212" t="s">
        <v>536</v>
      </c>
      <c r="F48" s="1212" t="s">
        <v>855</v>
      </c>
      <c r="G48" s="1226">
        <v>0</v>
      </c>
      <c r="H48" s="1218" t="s">
        <v>1049</v>
      </c>
      <c r="I48" s="1234">
        <f>VLOOKUP($A48,PRIORITIZATION!$B:$BW,68,FALSE)</f>
        <v>40.573333333333338</v>
      </c>
      <c r="J48" s="1227" t="s">
        <v>376</v>
      </c>
      <c r="K48" s="1221" t="s">
        <v>272</v>
      </c>
      <c r="L48" s="1222">
        <f>VLOOKUP($A48,MTP_points!$C:$K,9,FALSE)</f>
        <v>471638.97000000003</v>
      </c>
      <c r="M48" s="1223" t="str">
        <f t="shared" si="9"/>
        <v>Tier 2</v>
      </c>
      <c r="N48" s="1209">
        <f t="shared" si="10"/>
        <v>642000</v>
      </c>
      <c r="O48" s="1215">
        <f t="shared" si="11"/>
        <v>388315000</v>
      </c>
      <c r="P48" s="1228" t="s">
        <v>1432</v>
      </c>
      <c r="Q48" s="1228"/>
      <c r="R48" s="1225"/>
      <c r="AB48" s="1437"/>
      <c r="AC48" s="993"/>
      <c r="AD48" s="993"/>
      <c r="AE48" s="993"/>
      <c r="AF48" s="993"/>
      <c r="AG48" s="993"/>
      <c r="AH48" s="993"/>
      <c r="AI48" s="1438"/>
      <c r="AJ48" s="1438"/>
      <c r="AK48" s="1438"/>
      <c r="AL48" s="1438"/>
      <c r="AM48" s="993"/>
    </row>
    <row r="49" spans="1:39" ht="15" customHeight="1" x14ac:dyDescent="0.3">
      <c r="A49" s="1199" t="s">
        <v>926</v>
      </c>
      <c r="B49" s="979">
        <v>51</v>
      </c>
      <c r="C49" s="1200" t="s">
        <v>37</v>
      </c>
      <c r="D49" s="1203" t="s">
        <v>1748</v>
      </c>
      <c r="E49" s="1212" t="s">
        <v>786</v>
      </c>
      <c r="F49" s="1212" t="s">
        <v>872</v>
      </c>
      <c r="G49" s="1202">
        <v>0.54272629791666671</v>
      </c>
      <c r="H49" s="1201" t="s">
        <v>1643</v>
      </c>
      <c r="I49" s="1204">
        <f>VLOOKUP($A49,PRIORITIZATION!$B:$BW,68,FALSE)</f>
        <v>38.856666666666669</v>
      </c>
      <c r="J49" s="1205" t="s">
        <v>272</v>
      </c>
      <c r="K49" s="1221" t="s">
        <v>272</v>
      </c>
      <c r="L49" s="1207">
        <f>VLOOKUP($A49,'MTP_lines-polygons'!$E:$P,12,FALSE)</f>
        <v>2188704.7774858274</v>
      </c>
      <c r="M49" s="1208" t="str">
        <f t="shared" si="9"/>
        <v>Tier 2</v>
      </c>
      <c r="N49" s="1209">
        <f t="shared" si="10"/>
        <v>2978000</v>
      </c>
      <c r="O49" s="1215">
        <f t="shared" si="11"/>
        <v>391293000</v>
      </c>
      <c r="P49" s="1262" t="s">
        <v>1427</v>
      </c>
      <c r="Q49" s="1228" t="s">
        <v>949</v>
      </c>
      <c r="R49" s="1225"/>
      <c r="AB49" s="1437"/>
      <c r="AC49" s="993"/>
      <c r="AD49" s="993"/>
      <c r="AE49" s="993"/>
      <c r="AF49" s="993"/>
      <c r="AG49" s="993"/>
      <c r="AH49" s="993"/>
      <c r="AI49" s="1438"/>
      <c r="AJ49" s="1438"/>
      <c r="AK49" s="1438"/>
      <c r="AL49" s="1438"/>
      <c r="AM49" s="993"/>
    </row>
    <row r="50" spans="1:39" ht="15" customHeight="1" x14ac:dyDescent="0.3">
      <c r="A50" s="573" t="s">
        <v>1125</v>
      </c>
      <c r="B50" s="979">
        <v>21</v>
      </c>
      <c r="C50" s="1200" t="s">
        <v>197</v>
      </c>
      <c r="D50" s="1213" t="s">
        <v>1465</v>
      </c>
      <c r="E50" s="1212" t="s">
        <v>862</v>
      </c>
      <c r="F50" s="1212" t="s">
        <v>1339</v>
      </c>
      <c r="G50" s="1233">
        <v>0</v>
      </c>
      <c r="H50" s="1203" t="s">
        <v>1646</v>
      </c>
      <c r="I50" s="1204">
        <f>VLOOKUP($A50,PRIORITIZATION!$B:$BW,68,FALSE)</f>
        <v>35.793333333333337</v>
      </c>
      <c r="J50" s="1205" t="s">
        <v>376</v>
      </c>
      <c r="K50" s="1221" t="s">
        <v>272</v>
      </c>
      <c r="L50" s="1207">
        <f>VLOOKUP($A50,MTP_points!$C:$K,9,FALSE)</f>
        <v>290468.97000000003</v>
      </c>
      <c r="M50" s="1208" t="str">
        <f t="shared" si="9"/>
        <v>Tier 2</v>
      </c>
      <c r="N50" s="1209">
        <f t="shared" si="10"/>
        <v>396000</v>
      </c>
      <c r="O50" s="1215">
        <f t="shared" si="11"/>
        <v>391689000</v>
      </c>
      <c r="P50" s="1263" t="s">
        <v>1411</v>
      </c>
      <c r="Q50" s="1229" t="s">
        <v>1695</v>
      </c>
      <c r="R50" s="1225"/>
      <c r="AB50" s="1437"/>
      <c r="AC50" s="993"/>
      <c r="AD50" s="993"/>
      <c r="AE50" s="993"/>
      <c r="AF50" s="993"/>
      <c r="AG50" s="993"/>
      <c r="AH50" s="993"/>
      <c r="AI50" s="1438"/>
      <c r="AJ50" s="1438"/>
      <c r="AK50" s="1438"/>
      <c r="AL50" s="1438"/>
      <c r="AM50" s="993"/>
    </row>
    <row r="51" spans="1:39" ht="15" customHeight="1" x14ac:dyDescent="0.3">
      <c r="A51" s="1199" t="s">
        <v>1439</v>
      </c>
      <c r="B51" s="979">
        <v>64</v>
      </c>
      <c r="C51" s="1200" t="s">
        <v>37</v>
      </c>
      <c r="D51" s="1201" t="s">
        <v>1428</v>
      </c>
      <c r="E51" s="1212" t="s">
        <v>1480</v>
      </c>
      <c r="F51" s="1212" t="s">
        <v>614</v>
      </c>
      <c r="G51" s="1202">
        <v>0.86219897613636365</v>
      </c>
      <c r="H51" s="1201" t="s">
        <v>672</v>
      </c>
      <c r="I51" s="1204">
        <f>VLOOKUP($A51,PRIORITIZATION!$B:$BW,68,FALSE)</f>
        <v>30.446666666666669</v>
      </c>
      <c r="J51" s="1205" t="s">
        <v>376</v>
      </c>
      <c r="K51" s="1221" t="s">
        <v>272</v>
      </c>
      <c r="L51" s="1207">
        <f>VLOOKUP($A51,'MTP_lines-polygons'!$E:$P,12,FALSE)</f>
        <v>5056540.6704070503</v>
      </c>
      <c r="M51" s="1208" t="str">
        <f t="shared" si="9"/>
        <v>Tier 2</v>
      </c>
      <c r="N51" s="1209">
        <f t="shared" si="10"/>
        <v>6880000</v>
      </c>
      <c r="O51" s="1215">
        <f t="shared" si="11"/>
        <v>398569000</v>
      </c>
      <c r="P51" s="1262" t="s">
        <v>1429</v>
      </c>
      <c r="Q51" s="1228"/>
      <c r="R51" s="1173"/>
      <c r="AB51" s="1437"/>
      <c r="AC51" s="993"/>
      <c r="AD51" s="993"/>
      <c r="AE51" s="993"/>
      <c r="AF51" s="993"/>
      <c r="AG51" s="993"/>
      <c r="AH51" s="993"/>
      <c r="AI51" s="1438"/>
      <c r="AJ51" s="1438"/>
      <c r="AK51" s="1438"/>
      <c r="AL51" s="1438"/>
      <c r="AM51" s="993"/>
    </row>
    <row r="52" spans="1:39" ht="15" customHeight="1" x14ac:dyDescent="0.3">
      <c r="A52" s="574" t="s">
        <v>1388</v>
      </c>
      <c r="B52" s="979">
        <v>75</v>
      </c>
      <c r="C52" s="1217" t="s">
        <v>37</v>
      </c>
      <c r="D52" s="1218" t="s">
        <v>1383</v>
      </c>
      <c r="E52" s="1212" t="s">
        <v>728</v>
      </c>
      <c r="F52" s="1212" t="s">
        <v>855</v>
      </c>
      <c r="G52" s="1219">
        <v>0.26769133371212117</v>
      </c>
      <c r="H52" s="893" t="s">
        <v>1643</v>
      </c>
      <c r="I52" s="1234">
        <f>VLOOKUP($A52,PRIORITIZATION!$B:$BW,68,FALSE)</f>
        <v>28.413333333333338</v>
      </c>
      <c r="J52" s="1227" t="s">
        <v>376</v>
      </c>
      <c r="K52" s="1221" t="s">
        <v>272</v>
      </c>
      <c r="L52" s="1222">
        <f>VLOOKUP($A52,'MTP_lines-polygons'!$E:$P,12,FALSE)</f>
        <v>614606.30155918107</v>
      </c>
      <c r="M52" s="1223" t="str">
        <f t="shared" si="9"/>
        <v>Tier 2</v>
      </c>
      <c r="N52" s="1209">
        <f t="shared" si="10"/>
        <v>837000</v>
      </c>
      <c r="O52" s="1215">
        <f t="shared" si="11"/>
        <v>399406000</v>
      </c>
      <c r="P52" s="1239" t="s">
        <v>1733</v>
      </c>
      <c r="Q52" s="1228" t="s">
        <v>1704</v>
      </c>
      <c r="R52" s="1173"/>
      <c r="AB52" s="1437"/>
      <c r="AC52" s="993"/>
      <c r="AD52" s="993"/>
      <c r="AE52" s="993"/>
      <c r="AF52" s="993"/>
      <c r="AG52" s="993"/>
      <c r="AH52" s="993"/>
      <c r="AI52" s="1438"/>
      <c r="AJ52" s="1438"/>
      <c r="AK52" s="1438"/>
      <c r="AL52" s="1438"/>
      <c r="AM52" s="993"/>
    </row>
    <row r="53" spans="1:39" ht="15" customHeight="1" x14ac:dyDescent="0.3">
      <c r="A53" s="1216" t="s">
        <v>1417</v>
      </c>
      <c r="B53" s="979">
        <v>54</v>
      </c>
      <c r="C53" s="1217" t="s">
        <v>37</v>
      </c>
      <c r="D53" s="1212" t="s">
        <v>1418</v>
      </c>
      <c r="E53" s="1212" t="s">
        <v>1420</v>
      </c>
      <c r="F53" s="1212" t="s">
        <v>1421</v>
      </c>
      <c r="G53" s="1219">
        <v>1.314486159280303</v>
      </c>
      <c r="H53" s="1212" t="s">
        <v>1481</v>
      </c>
      <c r="I53" s="1204">
        <f>VLOOKUP($A53,PRIORITIZATION!$B:$BW,68,FALSE)</f>
        <v>28.373333333333335</v>
      </c>
      <c r="J53" s="1205" t="s">
        <v>376</v>
      </c>
      <c r="K53" s="1206" t="s">
        <v>272</v>
      </c>
      <c r="L53" s="1207">
        <f>VLOOKUP($A53,'MTP_lines-polygons'!$E:$P,12,FALSE)</f>
        <v>2128359.6289559249</v>
      </c>
      <c r="M53" s="1208" t="str">
        <f t="shared" si="9"/>
        <v>Tier 2</v>
      </c>
      <c r="N53" s="1209">
        <f t="shared" si="10"/>
        <v>2896000</v>
      </c>
      <c r="O53" s="1215">
        <f t="shared" si="11"/>
        <v>402302000</v>
      </c>
      <c r="P53" s="1228" t="s">
        <v>1741</v>
      </c>
      <c r="Q53" s="1228" t="s">
        <v>1702</v>
      </c>
      <c r="R53" s="1225"/>
      <c r="AB53" s="1437"/>
      <c r="AC53" s="993"/>
      <c r="AD53" s="993"/>
      <c r="AE53" s="993"/>
      <c r="AF53" s="993"/>
      <c r="AG53" s="993"/>
      <c r="AH53" s="993"/>
      <c r="AI53" s="1438"/>
      <c r="AJ53" s="1438"/>
      <c r="AK53" s="1438"/>
      <c r="AL53" s="1438"/>
      <c r="AM53" s="993"/>
    </row>
    <row r="54" spans="1:39" ht="15" customHeight="1" x14ac:dyDescent="0.3">
      <c r="A54" s="1216" t="s">
        <v>949</v>
      </c>
      <c r="B54" s="1118">
        <v>67</v>
      </c>
      <c r="C54" s="1217" t="s">
        <v>37</v>
      </c>
      <c r="D54" s="1212" t="s">
        <v>1036</v>
      </c>
      <c r="E54" s="1212" t="s">
        <v>1037</v>
      </c>
      <c r="F54" s="1212" t="s">
        <v>1038</v>
      </c>
      <c r="G54" s="1219">
        <v>0.64559560549242423</v>
      </c>
      <c r="H54" s="1212" t="s">
        <v>1643</v>
      </c>
      <c r="I54" s="1234">
        <f>VLOOKUP($A54,PRIORITIZATION!$B:$BW,68,FALSE)</f>
        <v>20.706666666666667</v>
      </c>
      <c r="J54" s="1227" t="s">
        <v>376</v>
      </c>
      <c r="K54" s="1221" t="s">
        <v>272</v>
      </c>
      <c r="L54" s="1222">
        <f>VLOOKUP($A54,'MTP_lines-polygons'!$E:$P,12,FALSE)</f>
        <v>1026864.2951030476</v>
      </c>
      <c r="M54" s="1223" t="str">
        <f t="shared" si="9"/>
        <v>Tier 2</v>
      </c>
      <c r="N54" s="1209">
        <f t="shared" si="10"/>
        <v>1398000</v>
      </c>
      <c r="O54" s="1215">
        <f t="shared" si="11"/>
        <v>403700000</v>
      </c>
      <c r="P54" s="1239" t="s">
        <v>1744</v>
      </c>
      <c r="Q54" s="1228" t="s">
        <v>926</v>
      </c>
      <c r="R54" s="1225"/>
      <c r="AB54" s="1437"/>
      <c r="AC54" s="993"/>
      <c r="AD54" s="993"/>
      <c r="AE54" s="993"/>
      <c r="AF54" s="993"/>
      <c r="AG54" s="993"/>
      <c r="AH54" s="993"/>
      <c r="AI54" s="1438"/>
      <c r="AJ54" s="1438"/>
      <c r="AK54" s="1438"/>
      <c r="AL54" s="1438"/>
      <c r="AM54" s="993"/>
    </row>
    <row r="55" spans="1:39" ht="15" customHeight="1" thickBot="1" x14ac:dyDescent="0.35">
      <c r="A55" s="574" t="s">
        <v>1121</v>
      </c>
      <c r="B55" s="1118">
        <v>17</v>
      </c>
      <c r="C55" s="1217" t="s">
        <v>197</v>
      </c>
      <c r="D55" s="1218" t="s">
        <v>770</v>
      </c>
      <c r="E55" s="1218" t="s">
        <v>124</v>
      </c>
      <c r="F55" s="1218" t="s">
        <v>1351</v>
      </c>
      <c r="G55" s="1226">
        <v>0</v>
      </c>
      <c r="H55" s="1218" t="s">
        <v>1049</v>
      </c>
      <c r="I55" s="1234">
        <f>VLOOKUP($A55,PRIORITIZATION!$B:$BW,68,FALSE)</f>
        <v>18.72</v>
      </c>
      <c r="J55" s="1227" t="s">
        <v>376</v>
      </c>
      <c r="K55" s="1221" t="s">
        <v>272</v>
      </c>
      <c r="L55" s="1222">
        <f>VLOOKUP($A55,MTP_points!$C:$K,9,FALSE)</f>
        <v>1074920.22</v>
      </c>
      <c r="M55" s="1223" t="str">
        <f t="shared" si="9"/>
        <v>Tier 2</v>
      </c>
      <c r="N55" s="1209">
        <f t="shared" si="10"/>
        <v>1463000</v>
      </c>
      <c r="O55" s="1242">
        <f t="shared" si="11"/>
        <v>405163000</v>
      </c>
      <c r="P55" s="1257" t="s">
        <v>1734</v>
      </c>
      <c r="Q55" s="1228" t="s">
        <v>1704</v>
      </c>
      <c r="R55" s="1117"/>
      <c r="AB55" s="1437"/>
      <c r="AC55" s="993"/>
      <c r="AD55" s="993"/>
      <c r="AE55" s="993"/>
      <c r="AF55" s="993"/>
      <c r="AG55" s="993"/>
      <c r="AH55" s="993"/>
      <c r="AI55" s="1438"/>
      <c r="AJ55" s="1438"/>
      <c r="AK55" s="1438"/>
      <c r="AL55" s="1439"/>
      <c r="AM55" s="993"/>
    </row>
    <row r="56" spans="1:39" ht="15" customHeight="1" thickBot="1" x14ac:dyDescent="0.35">
      <c r="A56" s="1264" t="s">
        <v>1120</v>
      </c>
      <c r="B56" s="994">
        <v>16</v>
      </c>
      <c r="C56" s="1265" t="s">
        <v>197</v>
      </c>
      <c r="D56" s="1266" t="s">
        <v>1460</v>
      </c>
      <c r="E56" s="1244" t="s">
        <v>867</v>
      </c>
      <c r="F56" s="1244" t="s">
        <v>1355</v>
      </c>
      <c r="G56" s="1267">
        <v>0</v>
      </c>
      <c r="H56" s="1244" t="s">
        <v>1049</v>
      </c>
      <c r="I56" s="1268">
        <f>VLOOKUP($A56,PRIORITIZATION!$B:$BW,68,FALSE)</f>
        <v>18.373333333333335</v>
      </c>
      <c r="J56" s="1269" t="s">
        <v>376</v>
      </c>
      <c r="K56" s="1270" t="s">
        <v>272</v>
      </c>
      <c r="L56" s="1271">
        <f>VLOOKUP($A56,MTP_points!$C:$K,9,FALSE)</f>
        <v>392666.67000000004</v>
      </c>
      <c r="M56" s="1272" t="str">
        <f t="shared" si="9"/>
        <v>Tier 2</v>
      </c>
      <c r="N56" s="1253">
        <f t="shared" si="10"/>
        <v>535000</v>
      </c>
      <c r="O56" s="1254">
        <f t="shared" si="11"/>
        <v>405698000</v>
      </c>
      <c r="P56" s="1273" t="s">
        <v>1745</v>
      </c>
      <c r="Q56" s="1246"/>
      <c r="R56" s="1274" t="s">
        <v>272</v>
      </c>
      <c r="T56" s="1148"/>
      <c r="AB56" s="1437"/>
      <c r="AC56" s="993"/>
      <c r="AD56" s="993"/>
      <c r="AE56" s="993"/>
      <c r="AF56" s="993"/>
      <c r="AG56" s="993"/>
      <c r="AH56" s="993"/>
      <c r="AI56" s="1438"/>
      <c r="AJ56" s="1438"/>
      <c r="AK56" s="1438"/>
      <c r="AL56" s="1443"/>
      <c r="AM56" s="993"/>
    </row>
    <row r="57" spans="1:39" ht="15" customHeight="1" x14ac:dyDescent="0.3">
      <c r="A57" s="1199" t="s">
        <v>916</v>
      </c>
      <c r="B57" s="979">
        <v>40</v>
      </c>
      <c r="C57" s="1200" t="s">
        <v>37</v>
      </c>
      <c r="D57" s="1213" t="s">
        <v>295</v>
      </c>
      <c r="E57" s="1201" t="s">
        <v>781</v>
      </c>
      <c r="F57" s="1201" t="s">
        <v>1634</v>
      </c>
      <c r="G57" s="1202">
        <v>1.5911881092823106</v>
      </c>
      <c r="H57" s="1201" t="s">
        <v>1487</v>
      </c>
      <c r="I57" s="1204">
        <f>VLOOKUP($A57,PRIORITIZATION!$B:$BW,68,FALSE)</f>
        <v>52.343333333333341</v>
      </c>
      <c r="J57" s="1214" t="s">
        <v>279</v>
      </c>
      <c r="K57" s="1206" t="s">
        <v>284</v>
      </c>
      <c r="L57" s="1207">
        <f>VLOOKUP($A57,'MTP_lines-polygons'!$E:$P,12,FALSE)</f>
        <v>5699999.9999999991</v>
      </c>
      <c r="M57" s="1208" t="str">
        <f t="shared" si="9"/>
        <v>Tier 3</v>
      </c>
      <c r="N57" s="1209">
        <f t="shared" si="10"/>
        <v>10089000</v>
      </c>
      <c r="O57" s="1209">
        <f t="shared" si="11"/>
        <v>415787000</v>
      </c>
      <c r="P57" s="1201" t="s">
        <v>1736</v>
      </c>
      <c r="Q57" s="1201" t="s">
        <v>947</v>
      </c>
      <c r="R57" s="1173" t="s">
        <v>284</v>
      </c>
      <c r="AB57" s="1437"/>
      <c r="AC57" s="993"/>
      <c r="AD57" s="993"/>
      <c r="AE57" s="993"/>
      <c r="AF57" s="993"/>
      <c r="AG57" s="993"/>
      <c r="AH57" s="993"/>
      <c r="AI57" s="1438"/>
      <c r="AJ57" s="1438"/>
      <c r="AK57" s="1438"/>
      <c r="AL57" s="1438"/>
      <c r="AM57" s="993"/>
    </row>
    <row r="58" spans="1:39" ht="15" customHeight="1" x14ac:dyDescent="0.3">
      <c r="A58" s="1216" t="s">
        <v>1389</v>
      </c>
      <c r="B58" s="979">
        <v>76</v>
      </c>
      <c r="C58" s="1217" t="s">
        <v>37</v>
      </c>
      <c r="D58" s="1218" t="s">
        <v>1390</v>
      </c>
      <c r="E58" s="1212" t="s">
        <v>1391</v>
      </c>
      <c r="F58" s="1212" t="s">
        <v>475</v>
      </c>
      <c r="G58" s="1219">
        <v>1.676427837878788</v>
      </c>
      <c r="H58" s="1212" t="s">
        <v>1643</v>
      </c>
      <c r="I58" s="1204">
        <f>VLOOKUP($A58,PRIORITIZATION!$B:$BW,68,FALSE)</f>
        <v>49.396666666666661</v>
      </c>
      <c r="J58" s="1220" t="s">
        <v>376</v>
      </c>
      <c r="K58" s="1221" t="s">
        <v>284</v>
      </c>
      <c r="L58" s="1222">
        <f>VLOOKUP($A58,'MTP_lines-polygons'!$E:$P,12,FALSE)</f>
        <v>2658435.0032374202</v>
      </c>
      <c r="M58" s="1223" t="str">
        <f t="shared" si="9"/>
        <v>Tier 3</v>
      </c>
      <c r="N58" s="1209">
        <f t="shared" si="10"/>
        <v>4706000</v>
      </c>
      <c r="O58" s="1215">
        <f t="shared" si="11"/>
        <v>420493000</v>
      </c>
      <c r="P58" s="1212" t="s">
        <v>1737</v>
      </c>
      <c r="Q58" s="1212" t="s">
        <v>1704</v>
      </c>
      <c r="R58" s="1117"/>
      <c r="AB58" s="1437"/>
      <c r="AC58" s="993"/>
      <c r="AD58" s="993"/>
      <c r="AE58" s="993"/>
      <c r="AF58" s="993"/>
      <c r="AG58" s="993"/>
      <c r="AH58" s="993"/>
      <c r="AI58" s="1438"/>
      <c r="AJ58" s="1438"/>
      <c r="AK58" s="1438"/>
      <c r="AL58" s="1438"/>
      <c r="AM58" s="993"/>
    </row>
    <row r="59" spans="1:39" ht="15" customHeight="1" x14ac:dyDescent="0.3">
      <c r="A59" s="1216" t="s">
        <v>933</v>
      </c>
      <c r="B59" s="979">
        <v>59</v>
      </c>
      <c r="C59" s="1217" t="s">
        <v>37</v>
      </c>
      <c r="D59" s="1212" t="s">
        <v>1680</v>
      </c>
      <c r="E59" s="1212" t="s">
        <v>975</v>
      </c>
      <c r="F59" s="1212" t="s">
        <v>427</v>
      </c>
      <c r="G59" s="1219">
        <v>0.41477272727272729</v>
      </c>
      <c r="H59" s="1212" t="s">
        <v>1487</v>
      </c>
      <c r="I59" s="1204">
        <f>VLOOKUP($A59,PRIORITIZATION!$B:$BW,68,FALSE)</f>
        <v>46.143333333333331</v>
      </c>
      <c r="J59" s="1227" t="s">
        <v>376</v>
      </c>
      <c r="K59" s="1221" t="s">
        <v>284</v>
      </c>
      <c r="L59" s="1222">
        <f>VLOOKUP($A59,'MTP_lines-polygons'!$E:$P,12,FALSE)</f>
        <v>3405779.19</v>
      </c>
      <c r="M59" s="1223" t="str">
        <f t="shared" si="9"/>
        <v>Tier 3</v>
      </c>
      <c r="N59" s="1209">
        <f t="shared" si="10"/>
        <v>6028000</v>
      </c>
      <c r="O59" s="1215">
        <f t="shared" si="11"/>
        <v>426521000</v>
      </c>
      <c r="P59" s="1228" t="s">
        <v>1726</v>
      </c>
      <c r="Q59" s="1228" t="s">
        <v>1704</v>
      </c>
      <c r="R59" s="1225"/>
      <c r="AB59" s="1437"/>
      <c r="AC59" s="993"/>
      <c r="AD59" s="993"/>
      <c r="AE59" s="993"/>
      <c r="AF59" s="993"/>
      <c r="AG59" s="993"/>
      <c r="AH59" s="993"/>
      <c r="AI59" s="1438"/>
      <c r="AJ59" s="1439"/>
      <c r="AK59" s="1438"/>
      <c r="AL59" s="1438"/>
      <c r="AM59" s="993"/>
    </row>
    <row r="60" spans="1:39" ht="15" customHeight="1" x14ac:dyDescent="0.3">
      <c r="A60" s="1275" t="s">
        <v>913</v>
      </c>
      <c r="B60" s="979">
        <v>37</v>
      </c>
      <c r="C60" s="1217" t="s">
        <v>37</v>
      </c>
      <c r="D60" s="1230" t="s">
        <v>593</v>
      </c>
      <c r="E60" s="1212" t="s">
        <v>955</v>
      </c>
      <c r="F60" s="1212" t="s">
        <v>956</v>
      </c>
      <c r="G60" s="1219">
        <v>2.2878296030726704</v>
      </c>
      <c r="H60" s="1212" t="s">
        <v>1487</v>
      </c>
      <c r="I60" s="1204">
        <f>VLOOKUP($A60,PRIORITIZATION!$B:$BW,68,FALSE)</f>
        <v>45.803333333333335</v>
      </c>
      <c r="J60" s="1220" t="s">
        <v>284</v>
      </c>
      <c r="K60" s="1221" t="s">
        <v>284</v>
      </c>
      <c r="L60" s="1222">
        <f>VLOOKUP($A60,'MTP_lines-polygons'!$E:$P,12,FALSE)</f>
        <v>17100000</v>
      </c>
      <c r="M60" s="1223" t="str">
        <f t="shared" si="9"/>
        <v>Tier 3</v>
      </c>
      <c r="N60" s="1209">
        <f t="shared" si="10"/>
        <v>30266000</v>
      </c>
      <c r="O60" s="1215">
        <f t="shared" si="11"/>
        <v>456787000</v>
      </c>
      <c r="P60" s="1212" t="s">
        <v>1738</v>
      </c>
      <c r="Q60" s="1212" t="s">
        <v>938</v>
      </c>
      <c r="R60" s="1225"/>
      <c r="AB60" s="1437"/>
      <c r="AC60" s="993"/>
      <c r="AD60" s="993"/>
      <c r="AE60" s="993"/>
      <c r="AF60" s="993"/>
      <c r="AG60" s="993"/>
      <c r="AH60" s="993"/>
      <c r="AI60" s="1438"/>
      <c r="AJ60" s="1444"/>
      <c r="AK60" s="1438"/>
      <c r="AL60" s="1438"/>
      <c r="AM60" s="993"/>
    </row>
    <row r="61" spans="1:39" ht="15" customHeight="1" x14ac:dyDescent="0.3">
      <c r="A61" s="1216" t="s">
        <v>925</v>
      </c>
      <c r="B61" s="979">
        <v>50</v>
      </c>
      <c r="C61" s="1217" t="s">
        <v>37</v>
      </c>
      <c r="D61" s="1230" t="s">
        <v>281</v>
      </c>
      <c r="E61" s="1212" t="s">
        <v>547</v>
      </c>
      <c r="F61" s="1212" t="s">
        <v>859</v>
      </c>
      <c r="G61" s="1219">
        <v>1.2851163744993996</v>
      </c>
      <c r="H61" s="1212" t="s">
        <v>1643</v>
      </c>
      <c r="I61" s="1204">
        <f>VLOOKUP($A61,PRIORITIZATION!$B:$BW,68,FALSE)</f>
        <v>45.223333333333329</v>
      </c>
      <c r="J61" s="1220" t="s">
        <v>279</v>
      </c>
      <c r="K61" s="1221" t="s">
        <v>284</v>
      </c>
      <c r="L61" s="1222">
        <f>VLOOKUP($A61,'MTP_lines-polygons'!$E:$P,12,FALSE)</f>
        <v>7979999.9999999991</v>
      </c>
      <c r="M61" s="1223" t="str">
        <f t="shared" si="9"/>
        <v>Tier 3</v>
      </c>
      <c r="N61" s="1209">
        <f t="shared" si="10"/>
        <v>14124000</v>
      </c>
      <c r="O61" s="1215">
        <f t="shared" si="11"/>
        <v>470911000</v>
      </c>
      <c r="P61" s="1212" t="s">
        <v>1739</v>
      </c>
      <c r="Q61" s="1212"/>
      <c r="R61" s="1225"/>
      <c r="AB61" s="1437"/>
      <c r="AC61" s="993"/>
      <c r="AD61" s="993"/>
      <c r="AE61" s="993"/>
      <c r="AF61" s="993"/>
      <c r="AG61" s="993"/>
      <c r="AH61" s="993"/>
      <c r="AI61" s="1438"/>
      <c r="AJ61" s="1438"/>
      <c r="AK61" s="1438"/>
      <c r="AL61" s="1438"/>
      <c r="AM61" s="993"/>
    </row>
    <row r="62" spans="1:39" ht="15" customHeight="1" x14ac:dyDescent="0.3">
      <c r="A62" s="1275" t="s">
        <v>914</v>
      </c>
      <c r="B62" s="979">
        <v>38</v>
      </c>
      <c r="C62" s="1217" t="s">
        <v>37</v>
      </c>
      <c r="D62" s="1230" t="s">
        <v>594</v>
      </c>
      <c r="E62" s="1212" t="s">
        <v>1625</v>
      </c>
      <c r="F62" s="1212" t="s">
        <v>955</v>
      </c>
      <c r="G62" s="1219">
        <v>1.0512905916953408</v>
      </c>
      <c r="H62" s="1212" t="s">
        <v>1487</v>
      </c>
      <c r="I62" s="1204">
        <f>VLOOKUP($A62,PRIORITIZATION!$B:$BW,68,FALSE)</f>
        <v>37.103333333333332</v>
      </c>
      <c r="J62" s="1220" t="s">
        <v>284</v>
      </c>
      <c r="K62" s="1276" t="s">
        <v>284</v>
      </c>
      <c r="L62" s="1222">
        <f>VLOOKUP($A62,'MTP_lines-polygons'!$E:$P,12,FALSE)</f>
        <v>4560000</v>
      </c>
      <c r="M62" s="1223" t="str">
        <f t="shared" si="9"/>
        <v>Tier 3</v>
      </c>
      <c r="N62" s="1209">
        <f t="shared" si="10"/>
        <v>8071000</v>
      </c>
      <c r="O62" s="1215">
        <f t="shared" si="11"/>
        <v>478982000</v>
      </c>
      <c r="P62" s="1212" t="s">
        <v>1738</v>
      </c>
      <c r="Q62" s="1212" t="s">
        <v>938</v>
      </c>
      <c r="R62" s="1225"/>
      <c r="AB62" s="1437"/>
      <c r="AC62" s="993"/>
      <c r="AD62" s="993"/>
      <c r="AE62" s="993"/>
      <c r="AF62" s="993"/>
      <c r="AG62" s="993"/>
      <c r="AH62" s="993"/>
      <c r="AI62" s="1438"/>
      <c r="AJ62" s="1438"/>
      <c r="AK62" s="1438"/>
      <c r="AL62" s="1438"/>
      <c r="AM62" s="993"/>
    </row>
    <row r="63" spans="1:39" ht="15" customHeight="1" x14ac:dyDescent="0.3">
      <c r="A63" s="1277" t="s">
        <v>941</v>
      </c>
      <c r="B63" s="979">
        <v>78</v>
      </c>
      <c r="C63" s="1278" t="s">
        <v>360</v>
      </c>
      <c r="D63" s="1279" t="s">
        <v>350</v>
      </c>
      <c r="E63" s="1212" t="s">
        <v>868</v>
      </c>
      <c r="F63" s="1212" t="s">
        <v>614</v>
      </c>
      <c r="G63" s="1280">
        <v>2.1105173571066667</v>
      </c>
      <c r="H63" s="1212" t="s">
        <v>1643</v>
      </c>
      <c r="I63" s="1281">
        <f>VLOOKUP($A63,PRIORITIZATION!$B:$BW,68,FALSE)</f>
        <v>36.563333333333333</v>
      </c>
      <c r="J63" s="1282" t="s">
        <v>279</v>
      </c>
      <c r="K63" s="1206" t="s">
        <v>284</v>
      </c>
      <c r="L63" s="1222">
        <f>VLOOKUP($A63,'MTP_lines-polygons'!$E:$P,12,FALSE)</f>
        <v>1758925.9734750001</v>
      </c>
      <c r="M63" s="1283" t="str">
        <f t="shared" si="9"/>
        <v>Tier 3</v>
      </c>
      <c r="N63" s="1209">
        <f t="shared" si="10"/>
        <v>3114000</v>
      </c>
      <c r="O63" s="1215">
        <f t="shared" si="11"/>
        <v>482096000</v>
      </c>
      <c r="P63" s="1284" t="s">
        <v>1740</v>
      </c>
      <c r="Q63" s="1228"/>
      <c r="R63" s="1225"/>
      <c r="AB63" s="1437"/>
      <c r="AC63" s="993"/>
      <c r="AD63" s="993"/>
      <c r="AE63" s="993"/>
      <c r="AF63" s="993"/>
      <c r="AG63" s="993"/>
      <c r="AH63" s="993"/>
      <c r="AI63" s="1438"/>
      <c r="AJ63" s="1438"/>
      <c r="AK63" s="1438"/>
      <c r="AL63" s="1438"/>
      <c r="AM63" s="993"/>
    </row>
    <row r="64" spans="1:39" ht="15" customHeight="1" x14ac:dyDescent="0.3">
      <c r="A64" s="1277" t="s">
        <v>1471</v>
      </c>
      <c r="B64" s="979">
        <v>77</v>
      </c>
      <c r="C64" s="1278" t="s">
        <v>37</v>
      </c>
      <c r="D64" s="1285" t="s">
        <v>1474</v>
      </c>
      <c r="E64" s="1212" t="s">
        <v>1045</v>
      </c>
      <c r="F64" s="1212" t="s">
        <v>1009</v>
      </c>
      <c r="G64" s="1280">
        <v>0.65360280340909094</v>
      </c>
      <c r="H64" s="1285" t="s">
        <v>1643</v>
      </c>
      <c r="I64" s="1286">
        <f>VLOOKUP($A64,PRIORITIZATION!$B:$BW,68,FALSE)</f>
        <v>33.35</v>
      </c>
      <c r="J64" s="1287" t="s">
        <v>376</v>
      </c>
      <c r="K64" s="1221" t="s">
        <v>284</v>
      </c>
      <c r="L64" s="1222">
        <f>VLOOKUP($A64,'MTP_lines-polygons'!$E:$P,12,FALSE)</f>
        <v>2296826.7659122501</v>
      </c>
      <c r="M64" s="1283" t="str">
        <f t="shared" si="9"/>
        <v>Tier 3</v>
      </c>
      <c r="N64" s="1209">
        <f t="shared" si="10"/>
        <v>4066000</v>
      </c>
      <c r="O64" s="1215">
        <f t="shared" si="11"/>
        <v>486162000</v>
      </c>
      <c r="P64" s="1288" t="s">
        <v>1476</v>
      </c>
      <c r="Q64" s="1228"/>
      <c r="R64" s="1225"/>
      <c r="AB64" s="1437"/>
      <c r="AC64" s="993"/>
      <c r="AD64" s="993"/>
      <c r="AE64" s="993"/>
      <c r="AF64" s="993"/>
      <c r="AG64" s="993"/>
      <c r="AH64" s="993"/>
      <c r="AI64" s="1438"/>
      <c r="AJ64" s="1438"/>
      <c r="AK64" s="1438"/>
      <c r="AL64" s="1439"/>
      <c r="AM64" s="993"/>
    </row>
    <row r="65" spans="1:39" ht="15" customHeight="1" x14ac:dyDescent="0.3">
      <c r="A65" s="1216" t="s">
        <v>951</v>
      </c>
      <c r="B65" s="979">
        <v>69</v>
      </c>
      <c r="C65" s="1217" t="s">
        <v>37</v>
      </c>
      <c r="D65" s="1212" t="s">
        <v>1043</v>
      </c>
      <c r="E65" s="1212" t="s">
        <v>1044</v>
      </c>
      <c r="F65" s="1212" t="s">
        <v>1045</v>
      </c>
      <c r="G65" s="1219">
        <v>4.8047228789772731</v>
      </c>
      <c r="H65" s="1212" t="s">
        <v>1643</v>
      </c>
      <c r="I65" s="1234">
        <f>VLOOKUP($A65,PRIORITIZATION!$B:$BW,68,FALSE)</f>
        <v>27.426666666666669</v>
      </c>
      <c r="J65" s="1227" t="s">
        <v>376</v>
      </c>
      <c r="K65" s="1221" t="s">
        <v>284</v>
      </c>
      <c r="L65" s="1222">
        <f>VLOOKUP($A65,'MTP_lines-polygons'!$E:$P,12,FALSE)</f>
        <v>7480746.3722243169</v>
      </c>
      <c r="M65" s="1223" t="str">
        <f t="shared" si="9"/>
        <v>Tier 3</v>
      </c>
      <c r="N65" s="1209">
        <f t="shared" si="10"/>
        <v>13241000</v>
      </c>
      <c r="O65" s="1215">
        <f t="shared" si="11"/>
        <v>499403000</v>
      </c>
      <c r="P65" s="1228" t="s">
        <v>1742</v>
      </c>
      <c r="Q65" s="1228" t="s">
        <v>950</v>
      </c>
      <c r="R65" s="1225"/>
      <c r="AB65" s="1437"/>
      <c r="AC65" s="993"/>
      <c r="AD65" s="993"/>
      <c r="AE65" s="993"/>
      <c r="AF65" s="993"/>
      <c r="AG65" s="993"/>
      <c r="AH65" s="993"/>
      <c r="AI65" s="1438"/>
      <c r="AJ65" s="1438"/>
      <c r="AK65" s="1438"/>
      <c r="AL65" s="1443"/>
      <c r="AM65" s="993"/>
    </row>
    <row r="66" spans="1:39" ht="15" customHeight="1" x14ac:dyDescent="0.3">
      <c r="A66" s="1199" t="s">
        <v>950</v>
      </c>
      <c r="B66" s="979">
        <v>68</v>
      </c>
      <c r="C66" s="1200" t="s">
        <v>37</v>
      </c>
      <c r="D66" s="1201" t="s">
        <v>1040</v>
      </c>
      <c r="E66" s="1212" t="s">
        <v>1041</v>
      </c>
      <c r="F66" s="1212" t="s">
        <v>1042</v>
      </c>
      <c r="G66" s="1202">
        <v>1.9102269096590909</v>
      </c>
      <c r="H66" s="1212" t="s">
        <v>1643</v>
      </c>
      <c r="I66" s="1204">
        <f>VLOOKUP($A66,PRIORITIZATION!$B:$BW,68,FALSE)</f>
        <v>23.573333333333334</v>
      </c>
      <c r="J66" s="1205" t="s">
        <v>376</v>
      </c>
      <c r="K66" s="1221" t="s">
        <v>284</v>
      </c>
      <c r="L66" s="1222">
        <f>VLOOKUP($A66,'MTP_lines-polygons'!$E:$P,12,FALSE)</f>
        <v>2998159.4984613527</v>
      </c>
      <c r="M66" s="1208" t="str">
        <f t="shared" si="9"/>
        <v>Tier 3</v>
      </c>
      <c r="N66" s="1209">
        <f t="shared" si="10"/>
        <v>5307000</v>
      </c>
      <c r="O66" s="1215">
        <f t="shared" si="11"/>
        <v>504710000</v>
      </c>
      <c r="P66" s="1228" t="s">
        <v>1742</v>
      </c>
      <c r="Q66" s="1228" t="s">
        <v>1700</v>
      </c>
      <c r="R66" s="1225"/>
      <c r="AB66" s="1437"/>
      <c r="AC66" s="993"/>
      <c r="AD66" s="993"/>
      <c r="AE66" s="993"/>
      <c r="AF66" s="993"/>
      <c r="AG66" s="993"/>
      <c r="AH66" s="993"/>
      <c r="AI66" s="1438"/>
      <c r="AJ66" s="1438"/>
      <c r="AK66" s="1438"/>
      <c r="AL66" s="1438"/>
      <c r="AM66" s="993"/>
    </row>
    <row r="67" spans="1:39" ht="15" customHeight="1" thickBot="1" x14ac:dyDescent="0.35">
      <c r="A67" s="1199" t="s">
        <v>936</v>
      </c>
      <c r="B67" s="979">
        <v>62</v>
      </c>
      <c r="C67" s="1200" t="s">
        <v>37</v>
      </c>
      <c r="D67" s="1201" t="s">
        <v>1094</v>
      </c>
      <c r="E67" s="1212" t="s">
        <v>1090</v>
      </c>
      <c r="F67" s="1212" t="s">
        <v>814</v>
      </c>
      <c r="G67" s="1202">
        <v>1.3727699893939393</v>
      </c>
      <c r="H67" s="1201" t="s">
        <v>1481</v>
      </c>
      <c r="I67" s="1204">
        <f>VLOOKUP($A67,PRIORITIZATION!$B:$BW,68,FALSE)</f>
        <v>22.686666666666664</v>
      </c>
      <c r="J67" s="1205" t="s">
        <v>376</v>
      </c>
      <c r="K67" s="1221" t="s">
        <v>284</v>
      </c>
      <c r="L67" s="1222">
        <f>VLOOKUP($A67,'MTP_lines-polygons'!$E:$P,12,FALSE)</f>
        <v>10643439.654631557</v>
      </c>
      <c r="M67" s="1208" t="str">
        <f t="shared" si="9"/>
        <v>Tier 3</v>
      </c>
      <c r="N67" s="1209">
        <f t="shared" si="10"/>
        <v>18838000</v>
      </c>
      <c r="O67" s="1242">
        <f t="shared" si="11"/>
        <v>523548000</v>
      </c>
      <c r="P67" s="1259" t="s">
        <v>1743</v>
      </c>
      <c r="Q67" s="1228" t="s">
        <v>1704</v>
      </c>
      <c r="R67" s="1225"/>
      <c r="AB67" s="1437"/>
      <c r="AC67" s="993"/>
      <c r="AD67" s="993"/>
      <c r="AE67" s="993"/>
      <c r="AF67" s="993"/>
      <c r="AG67" s="993"/>
      <c r="AH67" s="993"/>
      <c r="AI67" s="1438"/>
      <c r="AJ67" s="1438"/>
      <c r="AK67" s="1438"/>
      <c r="AL67" s="1438"/>
      <c r="AM67" s="993"/>
    </row>
    <row r="68" spans="1:39" ht="15" customHeight="1" thickBot="1" x14ac:dyDescent="0.35">
      <c r="A68" s="1289" t="s">
        <v>991</v>
      </c>
      <c r="B68" s="1142"/>
      <c r="C68" s="1290"/>
      <c r="D68" s="1291" t="s">
        <v>1754</v>
      </c>
      <c r="E68" s="1291" t="s">
        <v>1720</v>
      </c>
      <c r="F68" s="1291" t="s">
        <v>1721</v>
      </c>
      <c r="G68" s="1292">
        <v>2</v>
      </c>
      <c r="H68" s="1291" t="s">
        <v>343</v>
      </c>
      <c r="I68" s="1293"/>
      <c r="J68" s="1294"/>
      <c r="K68" s="1295" t="s">
        <v>284</v>
      </c>
      <c r="L68" s="1296"/>
      <c r="M68" s="1297"/>
      <c r="N68" s="1298">
        <v>44000000</v>
      </c>
      <c r="O68" s="1345">
        <f t="shared" si="11"/>
        <v>567548000</v>
      </c>
      <c r="P68" s="1299"/>
      <c r="Q68" s="1300" t="s">
        <v>1757</v>
      </c>
      <c r="R68" s="1301" t="s">
        <v>284</v>
      </c>
      <c r="S68" s="1147"/>
      <c r="T68" s="1148"/>
      <c r="AB68" s="1437"/>
      <c r="AC68" s="993"/>
      <c r="AD68" s="993"/>
      <c r="AE68" s="993"/>
      <c r="AF68" s="993"/>
      <c r="AG68" s="993"/>
      <c r="AH68" s="993"/>
      <c r="AI68" s="1438"/>
      <c r="AJ68" s="1438"/>
      <c r="AK68" s="1438"/>
      <c r="AL68" s="1438"/>
      <c r="AM68" s="993"/>
    </row>
    <row r="69" spans="1:39" ht="15" customHeight="1" thickTop="1" x14ac:dyDescent="0.3">
      <c r="A69" s="1199" t="s">
        <v>921</v>
      </c>
      <c r="B69" s="979">
        <v>45</v>
      </c>
      <c r="C69" s="1200" t="s">
        <v>37</v>
      </c>
      <c r="D69" s="1213" t="s">
        <v>969</v>
      </c>
      <c r="E69" s="1201" t="s">
        <v>614</v>
      </c>
      <c r="F69" s="1201" t="s">
        <v>728</v>
      </c>
      <c r="G69" s="1202">
        <v>1.5265818626134149</v>
      </c>
      <c r="H69" s="1201" t="s">
        <v>1481</v>
      </c>
      <c r="I69" s="1204">
        <f>VLOOKUP($A69,PRIORITIZATION!$B:$BW,68,FALSE)</f>
        <v>54.010000000000005</v>
      </c>
      <c r="J69" s="1214" t="s">
        <v>272</v>
      </c>
      <c r="K69" s="1206" t="s">
        <v>279</v>
      </c>
      <c r="L69" s="1207">
        <f>VLOOKUP($A69,'MTP_lines-polygons'!$E:$P,12,FALSE)</f>
        <v>12539999.999999998</v>
      </c>
      <c r="M69" s="1208" t="str">
        <f t="shared" ref="M69:M95" si="12">K69</f>
        <v>Tier 4</v>
      </c>
      <c r="N69" s="1209">
        <f t="shared" ref="N69:N95" si="13">ROUNDUP(VLOOKUP($M69,$T$3:$V$8,3,FALSE)*$L69,-3)</f>
        <v>25080000</v>
      </c>
      <c r="O69" s="1209">
        <f t="shared" si="11"/>
        <v>592628000</v>
      </c>
      <c r="P69" s="1302" t="s">
        <v>1715</v>
      </c>
      <c r="Q69" s="1303" t="s">
        <v>1704</v>
      </c>
      <c r="R69" s="1173" t="s">
        <v>279</v>
      </c>
      <c r="S69" s="993"/>
      <c r="AB69" s="1437"/>
      <c r="AC69" s="993"/>
      <c r="AD69" s="993"/>
      <c r="AE69" s="993"/>
      <c r="AF69" s="993"/>
      <c r="AG69" s="993"/>
      <c r="AH69" s="993"/>
      <c r="AI69" s="1438"/>
      <c r="AJ69" s="1438"/>
      <c r="AK69" s="1438"/>
      <c r="AL69" s="1438"/>
      <c r="AM69" s="993"/>
    </row>
    <row r="70" spans="1:39" ht="15" customHeight="1" x14ac:dyDescent="0.3">
      <c r="A70" s="1199" t="s">
        <v>984</v>
      </c>
      <c r="B70" s="979">
        <v>35</v>
      </c>
      <c r="C70" s="1200" t="s">
        <v>37</v>
      </c>
      <c r="D70" s="1201" t="s">
        <v>1624</v>
      </c>
      <c r="E70" s="1201" t="s">
        <v>733</v>
      </c>
      <c r="F70" s="1201" t="s">
        <v>781</v>
      </c>
      <c r="G70" s="1202">
        <v>0.81203164545454543</v>
      </c>
      <c r="H70" s="1201" t="s">
        <v>672</v>
      </c>
      <c r="I70" s="1204">
        <f>VLOOKUP($A70,PRIORITIZATION!$B:$BW,68,FALSE)</f>
        <v>44.626666666666672</v>
      </c>
      <c r="J70" s="1205" t="s">
        <v>376</v>
      </c>
      <c r="K70" s="1304" t="s">
        <v>279</v>
      </c>
      <c r="L70" s="1207">
        <f>VLOOKUP($A70,'MTP_lines-polygons'!$E:$P,12,FALSE)</f>
        <v>16895508.428383205</v>
      </c>
      <c r="M70" s="1208" t="str">
        <f t="shared" si="12"/>
        <v>Tier 4</v>
      </c>
      <c r="N70" s="1209">
        <f t="shared" si="13"/>
        <v>33792000</v>
      </c>
      <c r="O70" s="1215">
        <f t="shared" si="11"/>
        <v>626420000</v>
      </c>
      <c r="P70" s="1262" t="s">
        <v>1718</v>
      </c>
      <c r="Q70" s="1305"/>
      <c r="R70" s="1173"/>
      <c r="AB70" s="1437"/>
      <c r="AC70" s="993"/>
      <c r="AD70" s="993"/>
      <c r="AE70" s="993"/>
      <c r="AF70" s="993"/>
      <c r="AG70" s="993"/>
      <c r="AH70" s="993"/>
      <c r="AI70" s="1438"/>
      <c r="AJ70" s="1438"/>
      <c r="AK70" s="1438"/>
      <c r="AL70" s="1438"/>
      <c r="AM70" s="993"/>
    </row>
    <row r="71" spans="1:39" ht="15" customHeight="1" x14ac:dyDescent="0.3">
      <c r="A71" s="1199" t="s">
        <v>929</v>
      </c>
      <c r="B71" s="979">
        <v>55</v>
      </c>
      <c r="C71" s="1200" t="s">
        <v>37</v>
      </c>
      <c r="D71" s="1201" t="s">
        <v>980</v>
      </c>
      <c r="E71" s="1201" t="s">
        <v>958</v>
      </c>
      <c r="F71" s="1201" t="s">
        <v>959</v>
      </c>
      <c r="G71" s="1202">
        <v>0.56117424242424241</v>
      </c>
      <c r="H71" s="1201" t="s">
        <v>1487</v>
      </c>
      <c r="I71" s="1204">
        <f>VLOOKUP($A71,PRIORITIZATION!$B:$BW,68,FALSE)</f>
        <v>40.520000000000003</v>
      </c>
      <c r="J71" s="1205" t="s">
        <v>376</v>
      </c>
      <c r="K71" s="1206" t="s">
        <v>279</v>
      </c>
      <c r="L71" s="1207">
        <f>VLOOKUP($A71,'MTP_lines-polygons'!$E:$P,12,FALSE)</f>
        <v>12339268.92</v>
      </c>
      <c r="M71" s="1208" t="str">
        <f t="shared" si="12"/>
        <v>Tier 4</v>
      </c>
      <c r="N71" s="1209">
        <f t="shared" si="13"/>
        <v>24679000</v>
      </c>
      <c r="O71" s="1215">
        <f t="shared" si="11"/>
        <v>651099000</v>
      </c>
      <c r="P71" s="1306" t="s">
        <v>1484</v>
      </c>
      <c r="Q71" s="1307"/>
      <c r="R71" s="1173"/>
      <c r="AB71"/>
    </row>
    <row r="72" spans="1:39" ht="15" customHeight="1" x14ac:dyDescent="0.3">
      <c r="A72" s="1216" t="s">
        <v>918</v>
      </c>
      <c r="B72" s="979">
        <v>42</v>
      </c>
      <c r="C72" s="1217" t="s">
        <v>37</v>
      </c>
      <c r="D72" s="1212" t="s">
        <v>595</v>
      </c>
      <c r="E72" s="1212" t="s">
        <v>866</v>
      </c>
      <c r="F72" s="1212" t="s">
        <v>867</v>
      </c>
      <c r="G72" s="1219">
        <v>2.3431739657337878</v>
      </c>
      <c r="H72" s="1212" t="s">
        <v>1487</v>
      </c>
      <c r="I72" s="1204">
        <f>VLOOKUP($A72,PRIORITIZATION!$B:$BW,68,FALSE)</f>
        <v>39.253333333333337</v>
      </c>
      <c r="J72" s="1227" t="s">
        <v>279</v>
      </c>
      <c r="K72" s="1206" t="s">
        <v>279</v>
      </c>
      <c r="L72" s="1222">
        <f>VLOOKUP($A72,'MTP_lines-polygons'!$E:$P,12,FALSE)</f>
        <v>10260000</v>
      </c>
      <c r="M72" s="1223" t="str">
        <f t="shared" si="12"/>
        <v>Tier 4</v>
      </c>
      <c r="N72" s="1209">
        <f t="shared" si="13"/>
        <v>20520000</v>
      </c>
      <c r="O72" s="1215">
        <f t="shared" si="11"/>
        <v>671619000</v>
      </c>
      <c r="P72" s="1308" t="s">
        <v>1484</v>
      </c>
      <c r="Q72" s="1309"/>
      <c r="R72" s="1173"/>
      <c r="AB72"/>
    </row>
    <row r="73" spans="1:39" ht="15" customHeight="1" x14ac:dyDescent="0.3">
      <c r="A73" s="1275" t="s">
        <v>911</v>
      </c>
      <c r="B73" s="1151">
        <v>36</v>
      </c>
      <c r="C73" s="1310" t="s">
        <v>37</v>
      </c>
      <c r="D73" s="1230" t="s">
        <v>303</v>
      </c>
      <c r="E73" s="893" t="s">
        <v>747</v>
      </c>
      <c r="F73" s="893" t="s">
        <v>851</v>
      </c>
      <c r="G73" s="1231">
        <v>9.5153078530303041</v>
      </c>
      <c r="H73" s="893" t="s">
        <v>1481</v>
      </c>
      <c r="I73" s="1311">
        <f>VLOOKUP($A73,PRIORITIZATION!$B:$BW,68,FALSE)</f>
        <v>38.726666666666674</v>
      </c>
      <c r="J73" s="1312" t="s">
        <v>279</v>
      </c>
      <c r="K73" s="1304" t="s">
        <v>279</v>
      </c>
      <c r="L73" s="1313">
        <f>VLOOKUP($A73,'MTP_lines-polygons'!$E:$P,12,FALSE)</f>
        <v>25079999.999999996</v>
      </c>
      <c r="M73" s="1314" t="str">
        <f t="shared" si="12"/>
        <v>Tier 4</v>
      </c>
      <c r="N73" s="1209">
        <f t="shared" si="13"/>
        <v>50160000</v>
      </c>
      <c r="O73" s="1215">
        <f t="shared" si="11"/>
        <v>721779000</v>
      </c>
      <c r="P73" s="1308" t="s">
        <v>1484</v>
      </c>
      <c r="Q73" s="1309"/>
      <c r="R73" s="1225"/>
      <c r="AB73"/>
    </row>
    <row r="74" spans="1:39" ht="15" customHeight="1" x14ac:dyDescent="0.3">
      <c r="A74" s="1275" t="s">
        <v>954</v>
      </c>
      <c r="B74" s="1151">
        <v>72</v>
      </c>
      <c r="C74" s="1310" t="s">
        <v>37</v>
      </c>
      <c r="D74" s="893" t="s">
        <v>1753</v>
      </c>
      <c r="E74" s="893" t="s">
        <v>736</v>
      </c>
      <c r="F74" s="893" t="s">
        <v>1097</v>
      </c>
      <c r="G74" s="1231">
        <v>2.2601412234848484</v>
      </c>
      <c r="H74" s="1315" t="s">
        <v>1481</v>
      </c>
      <c r="I74" s="1311">
        <f>VLOOKUP($A74,PRIORITIZATION!$B:$BW,68,FALSE)</f>
        <v>38.479999999999997</v>
      </c>
      <c r="J74" s="1316" t="s">
        <v>376</v>
      </c>
      <c r="K74" s="1317" t="s">
        <v>279</v>
      </c>
      <c r="L74" s="1313">
        <f>VLOOKUP($A74,'MTP_lines-polygons'!$E:$P,12,FALSE)</f>
        <v>7343822.3163592322</v>
      </c>
      <c r="M74" s="1314" t="str">
        <f t="shared" si="12"/>
        <v>Tier 4</v>
      </c>
      <c r="N74" s="1209">
        <f t="shared" si="13"/>
        <v>14688000</v>
      </c>
      <c r="O74" s="1215">
        <f t="shared" si="11"/>
        <v>736467000</v>
      </c>
      <c r="P74" s="1308" t="s">
        <v>1693</v>
      </c>
      <c r="Q74" s="1309"/>
      <c r="R74" s="1225"/>
      <c r="AB74"/>
    </row>
    <row r="75" spans="1:39" ht="15" customHeight="1" x14ac:dyDescent="0.3">
      <c r="A75" s="1216" t="s">
        <v>922</v>
      </c>
      <c r="B75" s="979">
        <v>46</v>
      </c>
      <c r="C75" s="1217" t="s">
        <v>37</v>
      </c>
      <c r="D75" s="1218" t="s">
        <v>287</v>
      </c>
      <c r="E75" s="1212" t="s">
        <v>618</v>
      </c>
      <c r="F75" s="1212" t="s">
        <v>970</v>
      </c>
      <c r="G75" s="1219">
        <v>0.44769845343678977</v>
      </c>
      <c r="H75" s="1212" t="s">
        <v>1481</v>
      </c>
      <c r="I75" s="1204">
        <f>VLOOKUP($A75,PRIORITIZATION!$B:$BW,68,FALSE)</f>
        <v>35.986666666666672</v>
      </c>
      <c r="J75" s="1220" t="s">
        <v>279</v>
      </c>
      <c r="K75" s="1206" t="s">
        <v>279</v>
      </c>
      <c r="L75" s="1222">
        <f>VLOOKUP($A75,'MTP_lines-polygons'!$E:$P,12,FALSE)</f>
        <v>4560000</v>
      </c>
      <c r="M75" s="1223" t="str">
        <f t="shared" si="12"/>
        <v>Tier 4</v>
      </c>
      <c r="N75" s="1209">
        <f t="shared" si="13"/>
        <v>9120000</v>
      </c>
      <c r="O75" s="1215">
        <f t="shared" si="11"/>
        <v>745587000</v>
      </c>
      <c r="P75" s="1308" t="s">
        <v>1484</v>
      </c>
      <c r="Q75" s="1309"/>
      <c r="R75" s="1225"/>
      <c r="AB75"/>
    </row>
    <row r="76" spans="1:39" ht="15" customHeight="1" x14ac:dyDescent="0.3">
      <c r="A76" s="1216" t="s">
        <v>917</v>
      </c>
      <c r="B76" s="979">
        <v>41</v>
      </c>
      <c r="C76" s="1217" t="s">
        <v>37</v>
      </c>
      <c r="D76" s="1218" t="s">
        <v>293</v>
      </c>
      <c r="E76" s="1212" t="s">
        <v>621</v>
      </c>
      <c r="F76" s="1212" t="s">
        <v>1635</v>
      </c>
      <c r="G76" s="1219">
        <v>5.5872530596597727</v>
      </c>
      <c r="H76" s="1212" t="s">
        <v>1481</v>
      </c>
      <c r="I76" s="1204">
        <f>VLOOKUP($A76,PRIORITIZATION!$B:$BW,68,FALSE)</f>
        <v>35.240000000000009</v>
      </c>
      <c r="J76" s="1220" t="s">
        <v>272</v>
      </c>
      <c r="K76" s="1221" t="s">
        <v>279</v>
      </c>
      <c r="L76" s="1222">
        <f>VLOOKUP($A76,'MTP_lines-polygons'!$E:$P,12,FALSE)</f>
        <v>13679999.999999998</v>
      </c>
      <c r="M76" s="1223" t="str">
        <f t="shared" si="12"/>
        <v>Tier 4</v>
      </c>
      <c r="N76" s="1209">
        <f t="shared" si="13"/>
        <v>27360000</v>
      </c>
      <c r="O76" s="1215">
        <f t="shared" si="11"/>
        <v>772947000</v>
      </c>
      <c r="P76" s="1308" t="s">
        <v>1484</v>
      </c>
      <c r="Q76" s="1309"/>
      <c r="R76" s="1225"/>
      <c r="AB76"/>
    </row>
    <row r="77" spans="1:39" ht="15" customHeight="1" x14ac:dyDescent="0.3">
      <c r="A77" s="574" t="s">
        <v>1106</v>
      </c>
      <c r="B77" s="979">
        <v>4</v>
      </c>
      <c r="C77" s="1217" t="s">
        <v>197</v>
      </c>
      <c r="D77" s="1218" t="s">
        <v>1448</v>
      </c>
      <c r="E77" s="1212" t="s">
        <v>862</v>
      </c>
      <c r="F77" s="1212" t="s">
        <v>794</v>
      </c>
      <c r="G77" s="1226">
        <v>0</v>
      </c>
      <c r="H77" s="1218" t="s">
        <v>1049</v>
      </c>
      <c r="I77" s="1204">
        <f>VLOOKUP($A77,PRIORITIZATION!$B:$BW,68,FALSE)</f>
        <v>33.81</v>
      </c>
      <c r="J77" s="1227" t="s">
        <v>376</v>
      </c>
      <c r="K77" s="1206" t="s">
        <v>279</v>
      </c>
      <c r="L77" s="1222">
        <f>VLOOKUP($A77,MTP_points!$C:$K,9,FALSE)</f>
        <v>232009.27200000003</v>
      </c>
      <c r="M77" s="1223" t="str">
        <f t="shared" si="12"/>
        <v>Tier 4</v>
      </c>
      <c r="N77" s="1209">
        <f t="shared" si="13"/>
        <v>465000</v>
      </c>
      <c r="O77" s="1215">
        <f t="shared" si="11"/>
        <v>773412000</v>
      </c>
      <c r="P77" s="1308" t="s">
        <v>1484</v>
      </c>
      <c r="Q77" s="1229" t="s">
        <v>1695</v>
      </c>
      <c r="R77" s="1225"/>
      <c r="AB77"/>
    </row>
    <row r="78" spans="1:39" ht="15" customHeight="1" x14ac:dyDescent="0.3">
      <c r="A78" s="1216" t="s">
        <v>1131</v>
      </c>
      <c r="B78" s="979">
        <v>79</v>
      </c>
      <c r="C78" s="1217" t="s">
        <v>360</v>
      </c>
      <c r="D78" s="1218" t="s">
        <v>1653</v>
      </c>
      <c r="E78" s="1212" t="s">
        <v>1623</v>
      </c>
      <c r="F78" s="1212" t="s">
        <v>878</v>
      </c>
      <c r="G78" s="1219">
        <v>0.39755451439393941</v>
      </c>
      <c r="H78" s="1212" t="s">
        <v>343</v>
      </c>
      <c r="I78" s="1204">
        <f>VLOOKUP($A78,PRIORITIZATION!$B:$BW,68,FALSE)</f>
        <v>33.733333333333334</v>
      </c>
      <c r="J78" s="1220" t="s">
        <v>279</v>
      </c>
      <c r="K78" s="1206" t="s">
        <v>279</v>
      </c>
      <c r="L78" s="1222">
        <f>VLOOKUP($A78,'MTP_lines-polygons'!$E:$P,12,FALSE)</f>
        <v>13383933.204375001</v>
      </c>
      <c r="M78" s="1223" t="str">
        <f t="shared" si="12"/>
        <v>Tier 4</v>
      </c>
      <c r="N78" s="1209">
        <f t="shared" si="13"/>
        <v>26768000</v>
      </c>
      <c r="O78" s="1215">
        <f t="shared" si="11"/>
        <v>800180000</v>
      </c>
      <c r="P78" s="1308" t="s">
        <v>1484</v>
      </c>
      <c r="Q78" s="1309"/>
      <c r="R78" s="1225"/>
      <c r="AB78"/>
    </row>
    <row r="79" spans="1:39" ht="15" customHeight="1" x14ac:dyDescent="0.3">
      <c r="A79" s="1216" t="s">
        <v>942</v>
      </c>
      <c r="B79" s="979">
        <v>80</v>
      </c>
      <c r="C79" s="1217" t="s">
        <v>360</v>
      </c>
      <c r="D79" s="1218" t="s">
        <v>1659</v>
      </c>
      <c r="E79" s="1212" t="s">
        <v>1032</v>
      </c>
      <c r="F79" s="1212" t="s">
        <v>1033</v>
      </c>
      <c r="G79" s="1219">
        <v>0.48971539204545456</v>
      </c>
      <c r="H79" s="1212" t="s">
        <v>343</v>
      </c>
      <c r="I79" s="1204">
        <f>VLOOKUP($A79,PRIORITIZATION!$B:$BW,68,FALSE)</f>
        <v>33.38666666666667</v>
      </c>
      <c r="J79" s="1220" t="s">
        <v>279</v>
      </c>
      <c r="K79" s="1221" t="s">
        <v>279</v>
      </c>
      <c r="L79" s="1222">
        <f>VLOOKUP($A79,'MTP_lines-polygons'!$E:$P,12,FALSE)</f>
        <v>14633039.295000002</v>
      </c>
      <c r="M79" s="1223" t="str">
        <f t="shared" si="12"/>
        <v>Tier 4</v>
      </c>
      <c r="N79" s="1209">
        <f t="shared" si="13"/>
        <v>29267000</v>
      </c>
      <c r="O79" s="1215">
        <f t="shared" si="11"/>
        <v>829447000</v>
      </c>
      <c r="P79" s="1308" t="s">
        <v>1484</v>
      </c>
      <c r="Q79" s="1309"/>
      <c r="R79" s="1225"/>
      <c r="AB79"/>
    </row>
    <row r="80" spans="1:39" ht="15" customHeight="1" x14ac:dyDescent="0.3">
      <c r="A80" s="574" t="s">
        <v>1118</v>
      </c>
      <c r="B80" s="979">
        <v>14</v>
      </c>
      <c r="C80" s="1217" t="s">
        <v>197</v>
      </c>
      <c r="D80" s="1218" t="s">
        <v>1458</v>
      </c>
      <c r="E80" s="1212" t="s">
        <v>485</v>
      </c>
      <c r="F80" s="1212" t="s">
        <v>1352</v>
      </c>
      <c r="G80" s="1226">
        <v>0</v>
      </c>
      <c r="H80" s="1218" t="s">
        <v>1049</v>
      </c>
      <c r="I80" s="1204">
        <f>VLOOKUP($A80,PRIORITIZATION!$B:$BW,68,FALSE)</f>
        <v>32.873333333333335</v>
      </c>
      <c r="J80" s="1227" t="s">
        <v>376</v>
      </c>
      <c r="K80" s="1206" t="s">
        <v>279</v>
      </c>
      <c r="L80" s="1222">
        <f>VLOOKUP($A80,MTP_points!$C:$K,9,FALSE)</f>
        <v>174638.97000000003</v>
      </c>
      <c r="M80" s="1223" t="str">
        <f t="shared" si="12"/>
        <v>Tier 4</v>
      </c>
      <c r="N80" s="1209">
        <f t="shared" si="13"/>
        <v>350000</v>
      </c>
      <c r="O80" s="1215">
        <f t="shared" si="11"/>
        <v>829797000</v>
      </c>
      <c r="P80" s="1308" t="s">
        <v>1484</v>
      </c>
      <c r="Q80" s="1309"/>
      <c r="R80" s="1225"/>
      <c r="AB80"/>
    </row>
    <row r="81" spans="1:28" ht="15" customHeight="1" x14ac:dyDescent="0.3">
      <c r="A81" s="574" t="s">
        <v>1105</v>
      </c>
      <c r="B81" s="979">
        <v>3</v>
      </c>
      <c r="C81" s="1217" t="s">
        <v>197</v>
      </c>
      <c r="D81" s="1218" t="s">
        <v>1447</v>
      </c>
      <c r="E81" s="1212" t="s">
        <v>643</v>
      </c>
      <c r="F81" s="1212" t="s">
        <v>794</v>
      </c>
      <c r="G81" s="1226">
        <v>0</v>
      </c>
      <c r="H81" s="1218" t="s">
        <v>1049</v>
      </c>
      <c r="I81" s="1204">
        <f>VLOOKUP($A81,PRIORITIZATION!$B:$BW,68,FALSE)</f>
        <v>31.189999999999998</v>
      </c>
      <c r="J81" s="1227" t="s">
        <v>376</v>
      </c>
      <c r="K81" s="1221" t="s">
        <v>279</v>
      </c>
      <c r="L81" s="1222">
        <f>VLOOKUP($A81,MTP_points!$C:$K,9,FALSE)</f>
        <v>232009.27200000003</v>
      </c>
      <c r="M81" s="1223" t="str">
        <f t="shared" si="12"/>
        <v>Tier 4</v>
      </c>
      <c r="N81" s="1209">
        <f t="shared" si="13"/>
        <v>465000</v>
      </c>
      <c r="O81" s="1215">
        <f t="shared" si="11"/>
        <v>830262000</v>
      </c>
      <c r="P81" s="1308" t="s">
        <v>1484</v>
      </c>
      <c r="Q81" s="1229" t="s">
        <v>1695</v>
      </c>
      <c r="R81" s="1225"/>
      <c r="AB81"/>
    </row>
    <row r="82" spans="1:28" ht="15" customHeight="1" x14ac:dyDescent="0.3">
      <c r="A82" s="1216" t="s">
        <v>931</v>
      </c>
      <c r="B82" s="979">
        <v>57</v>
      </c>
      <c r="C82" s="1217" t="s">
        <v>37</v>
      </c>
      <c r="D82" s="1212" t="s">
        <v>1086</v>
      </c>
      <c r="E82" s="1212" t="s">
        <v>820</v>
      </c>
      <c r="F82" s="1212" t="s">
        <v>1085</v>
      </c>
      <c r="G82" s="1219">
        <v>5.222323996780303</v>
      </c>
      <c r="H82" s="1212" t="s">
        <v>1481</v>
      </c>
      <c r="I82" s="1204">
        <f>VLOOKUP($A82,PRIORITIZATION!$B:$BW,68,FALSE)</f>
        <v>30.826666666666668</v>
      </c>
      <c r="J82" s="1227" t="s">
        <v>376</v>
      </c>
      <c r="K82" s="1221" t="s">
        <v>279</v>
      </c>
      <c r="L82" s="1222">
        <f>VLOOKUP($A82,'MTP_lines-polygons'!$E:$P,12,FALSE)</f>
        <v>22145971.624969725</v>
      </c>
      <c r="M82" s="1223" t="str">
        <f t="shared" si="12"/>
        <v>Tier 4</v>
      </c>
      <c r="N82" s="1209">
        <f t="shared" si="13"/>
        <v>44292000</v>
      </c>
      <c r="O82" s="1215">
        <f t="shared" si="11"/>
        <v>874554000</v>
      </c>
      <c r="P82" s="1308" t="s">
        <v>1484</v>
      </c>
      <c r="Q82" s="1309"/>
      <c r="R82" s="1225"/>
      <c r="AB82"/>
    </row>
    <row r="83" spans="1:28" ht="15" customHeight="1" x14ac:dyDescent="0.3">
      <c r="A83" s="1216" t="s">
        <v>993</v>
      </c>
      <c r="B83" s="979">
        <v>49</v>
      </c>
      <c r="C83" s="1217" t="s">
        <v>37</v>
      </c>
      <c r="D83" s="1212" t="s">
        <v>1665</v>
      </c>
      <c r="E83" s="1212" t="s">
        <v>994</v>
      </c>
      <c r="F83" s="1212" t="s">
        <v>737</v>
      </c>
      <c r="G83" s="1219">
        <v>1.3917814098484849</v>
      </c>
      <c r="H83" s="1212" t="s">
        <v>1487</v>
      </c>
      <c r="I83" s="1204">
        <f>VLOOKUP($A83,PRIORITIZATION!$B:$BW,68,FALSE)</f>
        <v>30.653333333333329</v>
      </c>
      <c r="J83" s="1227" t="s">
        <v>376</v>
      </c>
      <c r="K83" s="1221" t="s">
        <v>279</v>
      </c>
      <c r="L83" s="1222">
        <f>VLOOKUP($A83,'MTP_lines-polygons'!$E:$P,12,FALSE)</f>
        <v>13733632.847764172</v>
      </c>
      <c r="M83" s="1223" t="str">
        <f t="shared" si="12"/>
        <v>Tier 4</v>
      </c>
      <c r="N83" s="1209">
        <f t="shared" si="13"/>
        <v>27468000</v>
      </c>
      <c r="O83" s="1215">
        <f t="shared" si="11"/>
        <v>902022000</v>
      </c>
      <c r="P83" s="1308" t="s">
        <v>1484</v>
      </c>
      <c r="Q83" s="1309"/>
      <c r="R83" s="1225"/>
      <c r="AB83"/>
    </row>
    <row r="84" spans="1:28" ht="15" customHeight="1" x14ac:dyDescent="0.3">
      <c r="A84" s="574" t="s">
        <v>1104</v>
      </c>
      <c r="B84" s="979">
        <v>2</v>
      </c>
      <c r="C84" s="1217" t="s">
        <v>197</v>
      </c>
      <c r="D84" s="1218" t="s">
        <v>1446</v>
      </c>
      <c r="E84" s="1212" t="s">
        <v>643</v>
      </c>
      <c r="F84" s="1212" t="s">
        <v>1004</v>
      </c>
      <c r="G84" s="1226">
        <v>0</v>
      </c>
      <c r="H84" s="1218" t="s">
        <v>1049</v>
      </c>
      <c r="I84" s="1204">
        <f>VLOOKUP($A84,PRIORITIZATION!$B:$BW,68,FALSE)</f>
        <v>29.59</v>
      </c>
      <c r="J84" s="1227" t="s">
        <v>376</v>
      </c>
      <c r="K84" s="1221" t="s">
        <v>279</v>
      </c>
      <c r="L84" s="1222">
        <f>VLOOKUP($A84,MTP_points!$C:$K,9,FALSE)</f>
        <v>254172.60000000003</v>
      </c>
      <c r="M84" s="1223" t="str">
        <f t="shared" si="12"/>
        <v>Tier 4</v>
      </c>
      <c r="N84" s="1209">
        <f t="shared" si="13"/>
        <v>509000</v>
      </c>
      <c r="O84" s="1215">
        <f t="shared" si="11"/>
        <v>902531000</v>
      </c>
      <c r="P84" s="1308" t="s">
        <v>1484</v>
      </c>
      <c r="Q84" s="1229" t="s">
        <v>1695</v>
      </c>
      <c r="R84" s="1225"/>
      <c r="AB84"/>
    </row>
    <row r="85" spans="1:28" ht="15" customHeight="1" x14ac:dyDescent="0.3">
      <c r="A85" s="574" t="s">
        <v>1108</v>
      </c>
      <c r="B85" s="979">
        <v>5</v>
      </c>
      <c r="C85" s="1217" t="s">
        <v>197</v>
      </c>
      <c r="D85" s="1218" t="s">
        <v>1449</v>
      </c>
      <c r="E85" s="1212" t="s">
        <v>862</v>
      </c>
      <c r="F85" s="1212" t="s">
        <v>1350</v>
      </c>
      <c r="G85" s="1226">
        <v>0</v>
      </c>
      <c r="H85" s="1218" t="s">
        <v>1049</v>
      </c>
      <c r="I85" s="1204">
        <f>VLOOKUP($A85,PRIORITIZATION!$B:$BW,68,FALSE)</f>
        <v>28.673333333333332</v>
      </c>
      <c r="J85" s="1227" t="s">
        <v>376</v>
      </c>
      <c r="K85" s="1221" t="s">
        <v>279</v>
      </c>
      <c r="L85" s="1222">
        <f>VLOOKUP($A85,MTP_points!$C:$K,9,FALSE)</f>
        <v>232009.27200000003</v>
      </c>
      <c r="M85" s="1223" t="str">
        <f t="shared" si="12"/>
        <v>Tier 4</v>
      </c>
      <c r="N85" s="1209">
        <f t="shared" si="13"/>
        <v>465000</v>
      </c>
      <c r="O85" s="1215">
        <f t="shared" si="11"/>
        <v>902996000</v>
      </c>
      <c r="P85" s="1308" t="s">
        <v>1484</v>
      </c>
      <c r="Q85" s="1309"/>
      <c r="R85" s="1225"/>
      <c r="AB85"/>
    </row>
    <row r="86" spans="1:28" ht="15" customHeight="1" x14ac:dyDescent="0.3">
      <c r="A86" s="574" t="s">
        <v>1111</v>
      </c>
      <c r="B86" s="979">
        <v>8</v>
      </c>
      <c r="C86" s="1217" t="s">
        <v>197</v>
      </c>
      <c r="D86" s="1218" t="s">
        <v>1452</v>
      </c>
      <c r="E86" s="1212" t="s">
        <v>1353</v>
      </c>
      <c r="F86" s="1212" t="s">
        <v>725</v>
      </c>
      <c r="G86" s="1226">
        <v>0</v>
      </c>
      <c r="H86" s="1218" t="s">
        <v>1049</v>
      </c>
      <c r="I86" s="1204">
        <f>VLOOKUP($A86,PRIORITIZATION!$B:$BW,68,FALSE)</f>
        <v>28.540000000000003</v>
      </c>
      <c r="J86" s="1227" t="s">
        <v>376</v>
      </c>
      <c r="K86" s="1221" t="s">
        <v>279</v>
      </c>
      <c r="L86" s="1222">
        <f>VLOOKUP($A86,MTP_points!$C:$K,9,FALSE)</f>
        <v>1079841.51</v>
      </c>
      <c r="M86" s="1223" t="str">
        <f t="shared" si="12"/>
        <v>Tier 4</v>
      </c>
      <c r="N86" s="1209">
        <f t="shared" si="13"/>
        <v>2160000</v>
      </c>
      <c r="O86" s="1215">
        <f t="shared" si="11"/>
        <v>905156000</v>
      </c>
      <c r="P86" s="1308" t="s">
        <v>1484</v>
      </c>
      <c r="Q86" s="1309" t="s">
        <v>1699</v>
      </c>
      <c r="R86" s="1225"/>
      <c r="AB86"/>
    </row>
    <row r="87" spans="1:28" ht="15" customHeight="1" x14ac:dyDescent="0.3">
      <c r="A87" s="574" t="s">
        <v>1119</v>
      </c>
      <c r="B87" s="979">
        <v>15</v>
      </c>
      <c r="C87" s="1217" t="s">
        <v>197</v>
      </c>
      <c r="D87" s="1218" t="s">
        <v>1459</v>
      </c>
      <c r="E87" s="1212" t="s">
        <v>485</v>
      </c>
      <c r="F87" s="1212" t="s">
        <v>1355</v>
      </c>
      <c r="G87" s="1226">
        <v>0</v>
      </c>
      <c r="H87" s="1218" t="s">
        <v>1049</v>
      </c>
      <c r="I87" s="1204">
        <f>VLOOKUP($A87,PRIORITIZATION!$B:$BW,68,FALSE)</f>
        <v>28.073333333333334</v>
      </c>
      <c r="J87" s="1227" t="s">
        <v>376</v>
      </c>
      <c r="K87" s="1221" t="s">
        <v>279</v>
      </c>
      <c r="L87" s="1222">
        <f>VLOOKUP($A87,MTP_points!$C:$K,9,FALSE)</f>
        <v>763981.29</v>
      </c>
      <c r="M87" s="1223" t="str">
        <f t="shared" si="12"/>
        <v>Tier 4</v>
      </c>
      <c r="N87" s="1209">
        <f t="shared" si="13"/>
        <v>1528000</v>
      </c>
      <c r="O87" s="1215">
        <f t="shared" si="11"/>
        <v>906684000</v>
      </c>
      <c r="P87" s="1308" t="s">
        <v>1484</v>
      </c>
      <c r="Q87" s="1309"/>
      <c r="R87" s="1225"/>
      <c r="AB87"/>
    </row>
    <row r="88" spans="1:28" ht="15" customHeight="1" x14ac:dyDescent="0.3">
      <c r="A88" s="1216" t="s">
        <v>948</v>
      </c>
      <c r="B88" s="979">
        <v>66</v>
      </c>
      <c r="C88" s="1217" t="s">
        <v>37</v>
      </c>
      <c r="D88" s="1212" t="s">
        <v>1029</v>
      </c>
      <c r="E88" s="1212" t="s">
        <v>536</v>
      </c>
      <c r="F88" s="1212" t="s">
        <v>1030</v>
      </c>
      <c r="G88" s="1219">
        <v>0.5449557808712121</v>
      </c>
      <c r="H88" s="1212" t="s">
        <v>1481</v>
      </c>
      <c r="I88" s="1204">
        <f>VLOOKUP($A88,PRIORITIZATION!$B:$BW,68,FALSE)</f>
        <v>27.683333333333334</v>
      </c>
      <c r="J88" s="1227" t="s">
        <v>376</v>
      </c>
      <c r="K88" s="1221" t="s">
        <v>279</v>
      </c>
      <c r="L88" s="1222">
        <f>VLOOKUP($A88,'MTP_lines-polygons'!$E:$P,12,FALSE)</f>
        <v>4855038.2275246885</v>
      </c>
      <c r="M88" s="1223" t="str">
        <f t="shared" si="12"/>
        <v>Tier 4</v>
      </c>
      <c r="N88" s="1209">
        <f t="shared" si="13"/>
        <v>9711000</v>
      </c>
      <c r="O88" s="1215">
        <f t="shared" si="11"/>
        <v>916395000</v>
      </c>
      <c r="P88" s="1308" t="s">
        <v>1484</v>
      </c>
      <c r="Q88" s="1309"/>
      <c r="R88" s="1173"/>
      <c r="AB88"/>
    </row>
    <row r="89" spans="1:28" ht="15" customHeight="1" x14ac:dyDescent="0.3">
      <c r="A89" s="1216" t="s">
        <v>930</v>
      </c>
      <c r="B89" s="979">
        <v>56</v>
      </c>
      <c r="C89" s="1217" t="s">
        <v>37</v>
      </c>
      <c r="D89" s="1212" t="s">
        <v>1070</v>
      </c>
      <c r="E89" s="1212" t="s">
        <v>1071</v>
      </c>
      <c r="F89" s="1212" t="s">
        <v>1072</v>
      </c>
      <c r="G89" s="1219">
        <v>2.7926157623106063</v>
      </c>
      <c r="H89" s="1212" t="s">
        <v>1481</v>
      </c>
      <c r="I89" s="1204">
        <f>VLOOKUP($A89,PRIORITIZATION!$B:$BW,68,FALSE)</f>
        <v>27.186666666666664</v>
      </c>
      <c r="J89" s="1227" t="s">
        <v>376</v>
      </c>
      <c r="K89" s="1221" t="s">
        <v>279</v>
      </c>
      <c r="L89" s="1222">
        <f>VLOOKUP($A89,'MTP_lines-polygons'!$E:$P,12,FALSE)</f>
        <v>21566392.906577066</v>
      </c>
      <c r="M89" s="1223" t="str">
        <f t="shared" si="12"/>
        <v>Tier 4</v>
      </c>
      <c r="N89" s="1209">
        <f t="shared" si="13"/>
        <v>43133000</v>
      </c>
      <c r="O89" s="1215">
        <f t="shared" si="11"/>
        <v>959528000</v>
      </c>
      <c r="P89" s="1308" t="s">
        <v>1484</v>
      </c>
      <c r="Q89" s="1309"/>
      <c r="R89" s="1225"/>
      <c r="AB89"/>
    </row>
    <row r="90" spans="1:28" ht="15" customHeight="1" x14ac:dyDescent="0.3">
      <c r="A90" s="574" t="s">
        <v>1117</v>
      </c>
      <c r="B90" s="979">
        <v>13</v>
      </c>
      <c r="C90" s="1217" t="s">
        <v>197</v>
      </c>
      <c r="D90" s="1218" t="s">
        <v>1457</v>
      </c>
      <c r="E90" s="1212" t="s">
        <v>878</v>
      </c>
      <c r="F90" s="1212" t="s">
        <v>727</v>
      </c>
      <c r="G90" s="1226">
        <v>0</v>
      </c>
      <c r="H90" s="1218" t="s">
        <v>1049</v>
      </c>
      <c r="I90" s="1204">
        <f>VLOOKUP($A90,PRIORITIZATION!$B:$BW,68,FALSE)</f>
        <v>22.973333333333336</v>
      </c>
      <c r="J90" s="1227" t="s">
        <v>376</v>
      </c>
      <c r="K90" s="1221" t="s">
        <v>279</v>
      </c>
      <c r="L90" s="1222">
        <f>VLOOKUP($A90,MTP_points!$C:$K,9,FALSE)</f>
        <v>1192440.1772727272</v>
      </c>
      <c r="M90" s="1223" t="str">
        <f t="shared" si="12"/>
        <v>Tier 4</v>
      </c>
      <c r="N90" s="1209">
        <f t="shared" si="13"/>
        <v>2385000</v>
      </c>
      <c r="O90" s="1215">
        <f t="shared" si="11"/>
        <v>961913000</v>
      </c>
      <c r="P90" s="1308" t="s">
        <v>1484</v>
      </c>
      <c r="Q90" s="1309"/>
      <c r="R90" s="1225"/>
      <c r="AB90"/>
    </row>
    <row r="91" spans="1:28" ht="15" customHeight="1" x14ac:dyDescent="0.3">
      <c r="A91" s="1216" t="s">
        <v>937</v>
      </c>
      <c r="B91" s="979">
        <v>63</v>
      </c>
      <c r="C91" s="1217" t="s">
        <v>37</v>
      </c>
      <c r="D91" s="1212" t="s">
        <v>987</v>
      </c>
      <c r="E91" s="1212" t="s">
        <v>735</v>
      </c>
      <c r="F91" s="1212" t="s">
        <v>734</v>
      </c>
      <c r="G91" s="1219">
        <v>0.36854495890151517</v>
      </c>
      <c r="H91" s="1212" t="s">
        <v>1487</v>
      </c>
      <c r="I91" s="1204">
        <f>VLOOKUP($A91,PRIORITIZATION!$B:$BW,68,FALSE)</f>
        <v>20.693333333333332</v>
      </c>
      <c r="J91" s="1227" t="s">
        <v>376</v>
      </c>
      <c r="K91" s="1221" t="s">
        <v>279</v>
      </c>
      <c r="L91" s="1222">
        <f>VLOOKUP($A91,'MTP_lines-polygons'!$E:$P,12,FALSE)</f>
        <v>4525475.7083295379</v>
      </c>
      <c r="M91" s="1223" t="str">
        <f t="shared" si="12"/>
        <v>Tier 4</v>
      </c>
      <c r="N91" s="1209">
        <f t="shared" si="13"/>
        <v>9051000</v>
      </c>
      <c r="O91" s="1215">
        <f t="shared" si="11"/>
        <v>970964000</v>
      </c>
      <c r="P91" s="1308" t="s">
        <v>1484</v>
      </c>
      <c r="Q91" s="1309"/>
      <c r="R91" s="1225"/>
      <c r="AB91"/>
    </row>
    <row r="92" spans="1:28" ht="15" customHeight="1" x14ac:dyDescent="0.3">
      <c r="A92" s="1216" t="s">
        <v>953</v>
      </c>
      <c r="B92" s="979">
        <v>71</v>
      </c>
      <c r="C92" s="1217" t="s">
        <v>37</v>
      </c>
      <c r="D92" s="1212" t="s">
        <v>1079</v>
      </c>
      <c r="E92" s="1212" t="s">
        <v>1080</v>
      </c>
      <c r="F92" s="1212" t="s">
        <v>1081</v>
      </c>
      <c r="G92" s="1219">
        <v>4.166666666666667</v>
      </c>
      <c r="H92" s="1212" t="s">
        <v>1643</v>
      </c>
      <c r="I92" s="1204">
        <f>VLOOKUP($A92,PRIORITIZATION!$B:$BW,68,FALSE)</f>
        <v>18.853333333333335</v>
      </c>
      <c r="J92" s="1227" t="s">
        <v>376</v>
      </c>
      <c r="K92" s="1221" t="s">
        <v>279</v>
      </c>
      <c r="L92" s="1222">
        <f>VLOOKUP($A92,'MTP_lines-polygons'!$E:$P,12,FALSE)</f>
        <v>13151961.9</v>
      </c>
      <c r="M92" s="1223" t="str">
        <f t="shared" si="12"/>
        <v>Tier 4</v>
      </c>
      <c r="N92" s="1209">
        <f t="shared" si="13"/>
        <v>26304000</v>
      </c>
      <c r="O92" s="1215">
        <f t="shared" ref="O92:O95" si="14">O91+N92</f>
        <v>997268000</v>
      </c>
      <c r="P92" s="1308" t="s">
        <v>1484</v>
      </c>
      <c r="Q92" s="1309" t="s">
        <v>952</v>
      </c>
      <c r="R92" s="1225"/>
      <c r="AB92"/>
    </row>
    <row r="93" spans="1:28" ht="15" customHeight="1" x14ac:dyDescent="0.3">
      <c r="A93" s="1216" t="s">
        <v>932</v>
      </c>
      <c r="B93" s="979">
        <v>58</v>
      </c>
      <c r="C93" s="1217" t="s">
        <v>37</v>
      </c>
      <c r="D93" s="1212" t="s">
        <v>979</v>
      </c>
      <c r="E93" s="1212" t="s">
        <v>855</v>
      </c>
      <c r="F93" s="1212" t="s">
        <v>1065</v>
      </c>
      <c r="G93" s="1219">
        <v>0.28333333333333333</v>
      </c>
      <c r="H93" s="1212" t="s">
        <v>1481</v>
      </c>
      <c r="I93" s="1204">
        <f>VLOOKUP($A93,PRIORITIZATION!$B:$BW,68,FALSE)</f>
        <v>18.053333333333335</v>
      </c>
      <c r="J93" s="1227" t="s">
        <v>376</v>
      </c>
      <c r="K93" s="1206" t="s">
        <v>279</v>
      </c>
      <c r="L93" s="1222">
        <f>VLOOKUP($A93,'MTP_lines-polygons'!$E:$P,12,FALSE)</f>
        <v>2833997.3101043999</v>
      </c>
      <c r="M93" s="1223" t="str">
        <f t="shared" si="12"/>
        <v>Tier 4</v>
      </c>
      <c r="N93" s="1209">
        <f t="shared" si="13"/>
        <v>5668000</v>
      </c>
      <c r="O93" s="1215">
        <f t="shared" si="14"/>
        <v>1002936000</v>
      </c>
      <c r="P93" s="1308" t="s">
        <v>1484</v>
      </c>
      <c r="Q93" s="1309"/>
      <c r="R93" s="1225"/>
      <c r="AB93"/>
    </row>
    <row r="94" spans="1:28" ht="15" customHeight="1" x14ac:dyDescent="0.3">
      <c r="A94" s="1216" t="s">
        <v>935</v>
      </c>
      <c r="B94" s="979">
        <v>61</v>
      </c>
      <c r="C94" s="1217" t="s">
        <v>37</v>
      </c>
      <c r="D94" s="1212" t="s">
        <v>978</v>
      </c>
      <c r="E94" s="1212" t="s">
        <v>981</v>
      </c>
      <c r="F94" s="1212" t="s">
        <v>982</v>
      </c>
      <c r="G94" s="1219">
        <v>1.3217941685606061</v>
      </c>
      <c r="H94" s="1212" t="s">
        <v>1481</v>
      </c>
      <c r="I94" s="1204">
        <f>VLOOKUP($A94,PRIORITIZATION!$B:$BW,68,FALSE)</f>
        <v>17.600000000000001</v>
      </c>
      <c r="J94" s="1227" t="s">
        <v>376</v>
      </c>
      <c r="K94" s="1206" t="s">
        <v>279</v>
      </c>
      <c r="L94" s="1222">
        <f>VLOOKUP($A94,'MTP_lines-polygons'!$E:$P,12,FALSE)</f>
        <v>10557983.516850002</v>
      </c>
      <c r="M94" s="1223" t="str">
        <f t="shared" si="12"/>
        <v>Tier 4</v>
      </c>
      <c r="N94" s="1209">
        <f t="shared" si="13"/>
        <v>21116000</v>
      </c>
      <c r="O94" s="1215">
        <f t="shared" si="14"/>
        <v>1024052000</v>
      </c>
      <c r="P94" s="1308" t="s">
        <v>1484</v>
      </c>
      <c r="Q94" s="1309"/>
      <c r="R94" s="1225"/>
      <c r="AB94"/>
    </row>
    <row r="95" spans="1:28" ht="15" customHeight="1" thickBot="1" x14ac:dyDescent="0.35">
      <c r="A95" s="1216" t="s">
        <v>952</v>
      </c>
      <c r="B95" s="979">
        <v>70</v>
      </c>
      <c r="C95" s="1217" t="s">
        <v>37</v>
      </c>
      <c r="D95" s="1212" t="s">
        <v>1078</v>
      </c>
      <c r="E95" s="1212" t="s">
        <v>1075</v>
      </c>
      <c r="F95" s="1212" t="s">
        <v>1076</v>
      </c>
      <c r="G95" s="1219">
        <v>1.856060606060606</v>
      </c>
      <c r="H95" s="1212" t="s">
        <v>1643</v>
      </c>
      <c r="I95" s="1204">
        <f>VLOOKUP($A95,PRIORITIZATION!$B:$BW,68,FALSE)</f>
        <v>14.186666666666667</v>
      </c>
      <c r="J95" s="1227" t="s">
        <v>376</v>
      </c>
      <c r="K95" s="1270" t="s">
        <v>279</v>
      </c>
      <c r="L95" s="1222">
        <f>VLOOKUP($A95,'MTP_lines-polygons'!$E:$P,12,FALSE)</f>
        <v>7658516.2500000009</v>
      </c>
      <c r="M95" s="1223" t="str">
        <f t="shared" si="12"/>
        <v>Tier 4</v>
      </c>
      <c r="N95" s="1209">
        <f t="shared" si="13"/>
        <v>15318000</v>
      </c>
      <c r="O95" s="1215">
        <f t="shared" si="14"/>
        <v>1039370000</v>
      </c>
      <c r="P95" s="1308" t="s">
        <v>1484</v>
      </c>
      <c r="Q95" s="1309" t="s">
        <v>953</v>
      </c>
      <c r="R95" s="1225"/>
      <c r="AB95"/>
    </row>
    <row r="96" spans="1:28" ht="15" customHeight="1" x14ac:dyDescent="0.3">
      <c r="A96" s="1318"/>
      <c r="B96" s="1318"/>
      <c r="C96" s="1319"/>
      <c r="D96" s="1225"/>
      <c r="E96" s="1225"/>
      <c r="F96" s="1225"/>
      <c r="G96" s="1320"/>
      <c r="H96" s="1318"/>
      <c r="I96" s="1321"/>
      <c r="J96" s="1322"/>
      <c r="K96" s="1323"/>
      <c r="L96" s="1322"/>
      <c r="M96" s="1324"/>
      <c r="N96" s="1173"/>
      <c r="O96" s="1173"/>
      <c r="P96" s="1173"/>
      <c r="Q96" s="1225"/>
      <c r="R96" s="1225"/>
      <c r="AB96"/>
    </row>
    <row r="97" spans="1:28" ht="15" customHeight="1" x14ac:dyDescent="0.3">
      <c r="A97" s="1318"/>
      <c r="B97" s="1318"/>
      <c r="C97" s="1319"/>
      <c r="D97" s="1225"/>
      <c r="E97" s="1225"/>
      <c r="F97" s="1225"/>
      <c r="G97" s="1320"/>
      <c r="H97" s="1318"/>
      <c r="I97" s="1321"/>
      <c r="J97" s="1322"/>
      <c r="K97" s="1323"/>
      <c r="L97" s="1322"/>
      <c r="M97" s="1324"/>
      <c r="N97" s="1173"/>
      <c r="O97" s="1173"/>
      <c r="P97" s="1173"/>
      <c r="Q97" s="1225"/>
      <c r="R97" s="1225"/>
      <c r="AB97"/>
    </row>
    <row r="98" spans="1:28" ht="15" customHeight="1" x14ac:dyDescent="0.25">
      <c r="A98" s="1318"/>
      <c r="B98" s="1318"/>
      <c r="C98" s="1319"/>
      <c r="D98" s="1225"/>
      <c r="E98" s="1225"/>
      <c r="F98" s="1225"/>
      <c r="G98" s="1320"/>
      <c r="H98" s="1318"/>
      <c r="I98" s="1321"/>
      <c r="J98" s="1322"/>
      <c r="K98" s="1323"/>
      <c r="L98" s="1322"/>
      <c r="M98" s="1324"/>
      <c r="N98" s="1325"/>
      <c r="O98" s="1173"/>
      <c r="P98" s="1173"/>
      <c r="Q98" s="1225"/>
      <c r="R98" s="1225"/>
    </row>
    <row r="99" spans="1:28" ht="15" customHeight="1" thickBot="1" x14ac:dyDescent="0.3">
      <c r="A99" s="1326" t="s">
        <v>1408</v>
      </c>
      <c r="B99" s="994"/>
      <c r="C99" s="1327"/>
      <c r="D99" s="1328"/>
      <c r="E99" s="1328"/>
      <c r="F99" s="1328"/>
      <c r="G99" s="1329"/>
      <c r="H99" s="1330"/>
      <c r="I99" s="1330"/>
      <c r="J99" s="1331"/>
      <c r="K99" s="1330"/>
      <c r="L99" s="1331"/>
      <c r="M99" s="1332" t="s">
        <v>1482</v>
      </c>
      <c r="N99" s="1198" t="s">
        <v>1485</v>
      </c>
      <c r="O99" s="1198"/>
      <c r="P99" s="1328" t="s">
        <v>1483</v>
      </c>
      <c r="Q99" s="1328"/>
      <c r="R99" s="1328"/>
    </row>
    <row r="100" spans="1:28" ht="15" customHeight="1" x14ac:dyDescent="0.25">
      <c r="A100" s="1333" t="s">
        <v>943</v>
      </c>
      <c r="B100" s="1118">
        <v>909</v>
      </c>
      <c r="C100" s="1217" t="s">
        <v>360</v>
      </c>
      <c r="D100" s="1218" t="s">
        <v>1655</v>
      </c>
      <c r="E100" s="1212" t="s">
        <v>880</v>
      </c>
      <c r="F100" s="1212" t="s">
        <v>881</v>
      </c>
      <c r="G100" s="1219">
        <v>3.8771402353382007</v>
      </c>
      <c r="H100" s="1212" t="s">
        <v>343</v>
      </c>
      <c r="I100" s="1234">
        <f>VLOOKUP($A100,PRIORITIZATION!$B:$BW,68,FALSE)</f>
        <v>28.06666666666667</v>
      </c>
      <c r="J100" s="1220" t="s">
        <v>1273</v>
      </c>
      <c r="K100" s="1221" t="s">
        <v>1403</v>
      </c>
      <c r="L100" s="1222">
        <f>VLOOKUP($A100,'MTP_lines-polygons'!$E:$P,12,FALSE)</f>
        <v>18055048.336875003</v>
      </c>
      <c r="M100" s="1223">
        <v>1.36</v>
      </c>
      <c r="N100" s="1215">
        <f t="shared" ref="N100:N105" si="15">L100*M100</f>
        <v>24554865.738150004</v>
      </c>
      <c r="O100" s="1215">
        <v>0</v>
      </c>
      <c r="P100" s="1224" t="s">
        <v>347</v>
      </c>
      <c r="Q100" s="1334"/>
      <c r="R100" s="1335" t="s">
        <v>1403</v>
      </c>
    </row>
    <row r="101" spans="1:28" ht="15" customHeight="1" x14ac:dyDescent="0.25">
      <c r="A101" s="1333" t="s">
        <v>944</v>
      </c>
      <c r="B101" s="1118">
        <v>81</v>
      </c>
      <c r="C101" s="1217" t="s">
        <v>360</v>
      </c>
      <c r="D101" s="1218" t="s">
        <v>1660</v>
      </c>
      <c r="E101" s="1212" t="s">
        <v>1027</v>
      </c>
      <c r="F101" s="1212" t="s">
        <v>1028</v>
      </c>
      <c r="G101" s="1219">
        <v>0.85541472178030309</v>
      </c>
      <c r="H101" s="1212" t="s">
        <v>343</v>
      </c>
      <c r="I101" s="1234">
        <f>VLOOKUP($A101,PRIORITIZATION!$B:$BW,68,FALSE)</f>
        <v>22.533333333333335</v>
      </c>
      <c r="J101" s="1227" t="s">
        <v>376</v>
      </c>
      <c r="K101" s="1221" t="s">
        <v>1403</v>
      </c>
      <c r="L101" s="1222">
        <f>VLOOKUP($A101,'MTP_lines-polygons'!$E:$P,12,FALSE)</f>
        <v>36005930.233806722</v>
      </c>
      <c r="M101" s="1336">
        <v>2</v>
      </c>
      <c r="N101" s="1215">
        <f t="shared" si="15"/>
        <v>72011860.467613444</v>
      </c>
      <c r="O101" s="1215">
        <v>0</v>
      </c>
      <c r="P101" s="1224" t="s">
        <v>347</v>
      </c>
      <c r="Q101" s="1212" t="s">
        <v>948</v>
      </c>
      <c r="R101" s="1335"/>
    </row>
    <row r="102" spans="1:28" ht="15" customHeight="1" x14ac:dyDescent="0.25">
      <c r="A102" s="1333" t="s">
        <v>945</v>
      </c>
      <c r="B102" s="1118">
        <v>910</v>
      </c>
      <c r="C102" s="1217" t="s">
        <v>360</v>
      </c>
      <c r="D102" s="1218" t="s">
        <v>1658</v>
      </c>
      <c r="E102" s="1212" t="s">
        <v>781</v>
      </c>
      <c r="F102" s="1212" t="s">
        <v>1035</v>
      </c>
      <c r="G102" s="1219">
        <v>0.77304157253787875</v>
      </c>
      <c r="H102" s="1212" t="s">
        <v>343</v>
      </c>
      <c r="I102" s="1234">
        <f>VLOOKUP($A102,PRIORITIZATION!$B:$BW,68,FALSE)</f>
        <v>17.633333333333333</v>
      </c>
      <c r="J102" s="1227" t="s">
        <v>376</v>
      </c>
      <c r="K102" s="1221" t="s">
        <v>1403</v>
      </c>
      <c r="L102" s="1222">
        <f>VLOOKUP($A102,'MTP_lines-polygons'!$E:$P,12,FALSE)</f>
        <v>74265490.299992934</v>
      </c>
      <c r="M102" s="1223">
        <v>1.77</v>
      </c>
      <c r="N102" s="1215">
        <f>L102*M102</f>
        <v>131449917.8309875</v>
      </c>
      <c r="O102" s="1215">
        <v>0</v>
      </c>
      <c r="P102" s="1224" t="s">
        <v>347</v>
      </c>
      <c r="Q102" s="1212" t="s">
        <v>1701</v>
      </c>
      <c r="R102" s="1335"/>
    </row>
    <row r="103" spans="1:28" ht="15" customHeight="1" x14ac:dyDescent="0.25">
      <c r="A103" s="1333" t="s">
        <v>946</v>
      </c>
      <c r="B103" s="1118">
        <v>911</v>
      </c>
      <c r="C103" s="1217" t="s">
        <v>360</v>
      </c>
      <c r="D103" s="1218" t="s">
        <v>1657</v>
      </c>
      <c r="E103" s="1212" t="s">
        <v>645</v>
      </c>
      <c r="F103" s="1212" t="s">
        <v>1035</v>
      </c>
      <c r="G103" s="1219">
        <v>0.51462413371212123</v>
      </c>
      <c r="H103" s="1212" t="s">
        <v>343</v>
      </c>
      <c r="I103" s="1234">
        <f>VLOOKUP($A103,PRIORITIZATION!$B:$BW,68,FALSE)</f>
        <v>21.986666666666668</v>
      </c>
      <c r="J103" s="1220" t="s">
        <v>1273</v>
      </c>
      <c r="K103" s="1221" t="s">
        <v>1403</v>
      </c>
      <c r="L103" s="1222">
        <f>VLOOKUP($A103,'MTP_lines-polygons'!$E:$P,12,FALSE)</f>
        <v>7089873.2843747754</v>
      </c>
      <c r="M103" s="1223">
        <v>1.06</v>
      </c>
      <c r="N103" s="1215">
        <f t="shared" si="15"/>
        <v>7515265.6814372623</v>
      </c>
      <c r="O103" s="1215">
        <v>0</v>
      </c>
      <c r="P103" s="1224" t="s">
        <v>347</v>
      </c>
      <c r="Q103" s="1212" t="s">
        <v>938</v>
      </c>
      <c r="R103" s="1335"/>
    </row>
    <row r="104" spans="1:28" ht="15" customHeight="1" x14ac:dyDescent="0.25">
      <c r="A104" s="1333" t="s">
        <v>1274</v>
      </c>
      <c r="B104" s="1118">
        <v>912</v>
      </c>
      <c r="C104" s="1217" t="s">
        <v>360</v>
      </c>
      <c r="D104" s="1218" t="s">
        <v>1671</v>
      </c>
      <c r="E104" s="1212" t="s">
        <v>874</v>
      </c>
      <c r="F104" s="1212" t="s">
        <v>875</v>
      </c>
      <c r="G104" s="1219">
        <v>2.7537734151786362</v>
      </c>
      <c r="H104" s="1212" t="s">
        <v>1155</v>
      </c>
      <c r="I104" s="1234">
        <f>VLOOKUP($A104,PRIORITIZATION!$B:$BW,68,FALSE)</f>
        <v>20.840000000000003</v>
      </c>
      <c r="J104" s="1220" t="s">
        <v>1273</v>
      </c>
      <c r="K104" s="1221" t="s">
        <v>1403</v>
      </c>
      <c r="L104" s="1222">
        <f>VLOOKUP($A104,'MTP_lines-polygons'!$E:$P,12,FALSE)</f>
        <v>64979999.999999993</v>
      </c>
      <c r="M104" s="1336">
        <v>2</v>
      </c>
      <c r="N104" s="1215">
        <f t="shared" si="15"/>
        <v>129959999.99999999</v>
      </c>
      <c r="O104" s="1215">
        <v>0</v>
      </c>
      <c r="P104" s="1224" t="s">
        <v>347</v>
      </c>
      <c r="Q104" s="1212"/>
      <c r="R104" s="1335"/>
    </row>
    <row r="105" spans="1:28" ht="15" customHeight="1" thickBot="1" x14ac:dyDescent="0.3">
      <c r="A105" s="1337" t="s">
        <v>1275</v>
      </c>
      <c r="B105" s="984">
        <v>913</v>
      </c>
      <c r="C105" s="1338" t="s">
        <v>360</v>
      </c>
      <c r="D105" s="1244" t="s">
        <v>1672</v>
      </c>
      <c r="E105" s="1245" t="s">
        <v>875</v>
      </c>
      <c r="F105" s="1245" t="s">
        <v>877</v>
      </c>
      <c r="G105" s="1339">
        <v>6.2126916664373297</v>
      </c>
      <c r="H105" s="1245" t="s">
        <v>1155</v>
      </c>
      <c r="I105" s="1248">
        <f>VLOOKUP($A105,PRIORITIZATION!$B:$BW,68,FALSE)</f>
        <v>18.973333333333336</v>
      </c>
      <c r="J105" s="1340" t="s">
        <v>1273</v>
      </c>
      <c r="K105" s="1250" t="s">
        <v>1403</v>
      </c>
      <c r="L105" s="1251">
        <f>VLOOKUP($A105,'MTP_lines-polygons'!$E:$P,12,FALSE)</f>
        <v>117419999.99999999</v>
      </c>
      <c r="M105" s="1341">
        <v>2</v>
      </c>
      <c r="N105" s="1342">
        <f t="shared" si="15"/>
        <v>234839999.99999997</v>
      </c>
      <c r="O105" s="1342">
        <v>0</v>
      </c>
      <c r="P105" s="1343" t="s">
        <v>347</v>
      </c>
      <c r="Q105" s="1245"/>
      <c r="R105" s="1274" t="s">
        <v>1403</v>
      </c>
    </row>
    <row r="106" spans="1:28" ht="12" customHeight="1" x14ac:dyDescent="0.25"/>
    <row r="107" spans="1:28" ht="12" customHeight="1" x14ac:dyDescent="0.25"/>
    <row r="108" spans="1:28" ht="12" customHeight="1" x14ac:dyDescent="0.25"/>
    <row r="109" spans="1:28" ht="12" customHeight="1" x14ac:dyDescent="0.25"/>
    <row r="110" spans="1:28" ht="12" customHeight="1" x14ac:dyDescent="0.25"/>
  </sheetData>
  <autoFilter ref="A2:R95" xr:uid="{CE5CBFEC-3FE5-428A-BD4E-DE34747C3748}">
    <sortState xmlns:xlrd2="http://schemas.microsoft.com/office/spreadsheetml/2017/richdata2" ref="A3:R95">
      <sortCondition ref="K3:K95"/>
      <sortCondition descending="1" ref="I3:I95"/>
    </sortState>
  </autoFilter>
  <sortState xmlns:xlrd2="http://schemas.microsoft.com/office/spreadsheetml/2017/richdata2" ref="A102:P105">
    <sortCondition ref="A102:A105"/>
  </sortState>
  <phoneticPr fontId="29" type="noConversion"/>
  <conditionalFormatting sqref="A99:Q105 A12:Q12 A13:N21 P13:Q21 O13:O95">
    <cfRule type="expression" dxfId="27" priority="23">
      <formula>MOD(ROW(),2)=0</formula>
    </cfRule>
  </conditionalFormatting>
  <conditionalFormatting sqref="I99:I1048576 I1:I10 I12:I95">
    <cfRule type="colorScale" priority="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26 Q35 P27:Q34 P36:Q95 P22:Q25 A69:N95 A68:D68 G68:N68 A22:N67">
    <cfRule type="expression" dxfId="26" priority="21">
      <formula>MOD(ROW(),2)=0</formula>
    </cfRule>
  </conditionalFormatting>
  <conditionalFormatting sqref="V3:V8">
    <cfRule type="colorScale" priority="4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1">
    <cfRule type="colorScale" priority="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1:M11 O11:Q11">
    <cfRule type="expression" dxfId="25" priority="22">
      <formula>MOD(ROW(),2)=0</formula>
    </cfRule>
  </conditionalFormatting>
  <conditionalFormatting sqref="A11">
    <cfRule type="expression" dxfId="24" priority="12">
      <formula>MOD(ROW(),2)=0</formula>
    </cfRule>
  </conditionalFormatting>
  <conditionalFormatting sqref="R99">
    <cfRule type="expression" dxfId="23" priority="10">
      <formula>MOD(ROW(),2)=0</formula>
    </cfRule>
  </conditionalFormatting>
  <conditionalFormatting sqref="P26">
    <cfRule type="expression" dxfId="22" priority="9">
      <formula>MOD(ROW(),2)=0</formula>
    </cfRule>
  </conditionalFormatting>
  <conditionalFormatting sqref="P35">
    <cfRule type="expression" dxfId="21" priority="8">
      <formula>MOD(ROW(),2)=0</formula>
    </cfRule>
  </conditionalFormatting>
  <conditionalFormatting sqref="K12">
    <cfRule type="expression" dxfId="20" priority="26">
      <formula>MOD(ROW(),2)=0</formula>
    </cfRule>
  </conditionalFormatting>
  <conditionalFormatting sqref="K36">
    <cfRule type="expression" dxfId="19" priority="32">
      <formula>MOD(ROW(),2)=0</formula>
    </cfRule>
  </conditionalFormatting>
  <conditionalFormatting sqref="K37">
    <cfRule type="expression" dxfId="18" priority="24">
      <formula>MOD(ROW(),2)=0</formula>
    </cfRule>
  </conditionalFormatting>
  <conditionalFormatting sqref="K44">
    <cfRule type="expression" dxfId="17" priority="45">
      <formula>MOD(ROW(),2)=0</formula>
    </cfRule>
  </conditionalFormatting>
  <conditionalFormatting sqref="N11">
    <cfRule type="expression" dxfId="16" priority="3">
      <formula>MOD(ROW(),2)=0</formula>
    </cfRule>
  </conditionalFormatting>
  <conditionalFormatting sqref="E68:F68">
    <cfRule type="expression" dxfId="15" priority="1">
      <formula>MOD(ROW(),2)=0</formula>
    </cfRule>
  </conditionalFormatting>
  <conditionalFormatting sqref="K1:K1048576">
    <cfRule type="containsText" dxfId="14" priority="4" operator="containsText" text="AFD">
      <formula>NOT(ISERROR(SEARCH("AFD",K1)))</formula>
    </cfRule>
    <cfRule type="containsText" dxfId="13" priority="6" operator="containsText" text="Tier 4">
      <formula>NOT(ISERROR(SEARCH("Tier 4",K1)))</formula>
    </cfRule>
    <cfRule type="containsText" dxfId="12" priority="13" operator="containsText" text="Tier 3">
      <formula>NOT(ISERROR(SEARCH("Tier 3",K1)))</formula>
    </cfRule>
    <cfRule type="containsText" dxfId="11" priority="14" operator="containsText" text="Tier 2">
      <formula>NOT(ISERROR(SEARCH("Tier 2",K1)))</formula>
    </cfRule>
    <cfRule type="containsText" dxfId="10" priority="15" operator="containsText" text="Tier 1">
      <formula>NOT(ISERROR(SEARCH("Tier 1",K1)))</formula>
    </cfRule>
  </conditionalFormatting>
  <pageMargins left="0.7" right="0.7" top="0.75" bottom="0.75" header="0.3" footer="0.3"/>
  <pageSetup paperSize="17" scale="88" fitToHeight="2" orientation="portrait" verticalDpi="0" r:id="rId1"/>
  <rowBreaks count="1" manualBreakCount="1">
    <brk id="68" max="17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BC8D6-B5D3-4ED4-8CB9-D1576017CD02}">
  <sheetPr>
    <pageSetUpPr fitToPage="1"/>
  </sheetPr>
  <dimension ref="B1:I128"/>
  <sheetViews>
    <sheetView view="pageBreakPreview" topLeftCell="A97" zoomScaleNormal="100" zoomScaleSheetLayoutView="100" workbookViewId="0">
      <selection activeCell="D103" sqref="D103"/>
    </sheetView>
  </sheetViews>
  <sheetFormatPr defaultColWidth="9.109375" defaultRowHeight="14.4" x14ac:dyDescent="0.3"/>
  <cols>
    <col min="1" max="1" width="3.88671875" style="1120" customWidth="1"/>
    <col min="2" max="2" width="9.109375" style="1364" customWidth="1"/>
    <col min="3" max="3" width="45.6640625" style="1383" customWidth="1"/>
    <col min="4" max="5" width="19.44140625" style="1384" customWidth="1"/>
    <col min="6" max="6" width="63" style="1129" customWidth="1"/>
    <col min="7" max="7" width="6.33203125" style="1365" customWidth="1"/>
    <col min="8" max="8" width="13" style="1431" customWidth="1"/>
    <col min="9" max="9" width="16.33203125" style="1432" customWidth="1"/>
    <col min="10" max="10" width="3.33203125" style="1120" customWidth="1"/>
    <col min="11" max="16384" width="9.109375" style="1120"/>
  </cols>
  <sheetData>
    <row r="1" spans="2:9" s="1134" customFormat="1" ht="18" x14ac:dyDescent="0.3">
      <c r="B1" s="1349" t="s">
        <v>1515</v>
      </c>
      <c r="C1" s="1366"/>
      <c r="D1" s="1367"/>
      <c r="E1" s="1367"/>
      <c r="F1" s="1133"/>
      <c r="G1" s="1350"/>
      <c r="H1" s="1385"/>
      <c r="I1" s="1386"/>
    </row>
    <row r="2" spans="2:9" s="1130" customFormat="1" ht="15" thickBot="1" x14ac:dyDescent="0.35">
      <c r="B2" s="1351"/>
      <c r="C2" s="1368"/>
      <c r="D2" s="1369"/>
      <c r="E2" s="1369"/>
      <c r="F2" s="1136"/>
      <c r="G2" s="1352"/>
      <c r="H2" s="1387"/>
      <c r="I2" s="1388"/>
    </row>
    <row r="3" spans="2:9" s="1132" customFormat="1" ht="15.6" x14ac:dyDescent="0.3">
      <c r="B3" s="1353" t="s">
        <v>1055</v>
      </c>
      <c r="C3" s="1370"/>
      <c r="D3" s="1371"/>
      <c r="E3" s="1371"/>
      <c r="F3" s="1135"/>
      <c r="G3" s="1354"/>
      <c r="H3" s="1389"/>
      <c r="I3" s="1390"/>
    </row>
    <row r="4" spans="2:9" s="1122" customFormat="1" ht="15" thickBot="1" x14ac:dyDescent="0.35">
      <c r="B4" s="1355" t="s">
        <v>1014</v>
      </c>
      <c r="C4" s="1372" t="s">
        <v>2</v>
      </c>
      <c r="D4" s="1372" t="s">
        <v>1498</v>
      </c>
      <c r="E4" s="1372" t="s">
        <v>1477</v>
      </c>
      <c r="F4" s="1121" t="s">
        <v>605</v>
      </c>
      <c r="G4" s="1356" t="s">
        <v>12</v>
      </c>
      <c r="H4" s="1391" t="s">
        <v>1026</v>
      </c>
      <c r="I4" s="1392" t="s">
        <v>15</v>
      </c>
    </row>
    <row r="5" spans="2:9" ht="28.8" x14ac:dyDescent="0.3">
      <c r="B5" s="1357" t="s">
        <v>885</v>
      </c>
      <c r="C5" s="1373" t="s">
        <v>1499</v>
      </c>
      <c r="D5" s="1374" t="s">
        <v>641</v>
      </c>
      <c r="E5" s="1374" t="s">
        <v>642</v>
      </c>
      <c r="F5" s="1123" t="s">
        <v>1591</v>
      </c>
      <c r="G5" s="1393">
        <v>1.33</v>
      </c>
      <c r="H5" s="1394">
        <v>1593000</v>
      </c>
      <c r="I5" s="1395" t="s">
        <v>1046</v>
      </c>
    </row>
    <row r="6" spans="2:9" ht="27.6" x14ac:dyDescent="0.3">
      <c r="B6" s="1358" t="s">
        <v>887</v>
      </c>
      <c r="C6" s="1375" t="s">
        <v>1500</v>
      </c>
      <c r="D6" s="1376" t="s">
        <v>614</v>
      </c>
      <c r="E6" s="1376" t="s">
        <v>643</v>
      </c>
      <c r="F6" s="1124" t="s">
        <v>1591</v>
      </c>
      <c r="G6" s="1396">
        <v>0.16240530303030304</v>
      </c>
      <c r="H6" s="1397">
        <v>384000</v>
      </c>
      <c r="I6" s="1398" t="s">
        <v>1046</v>
      </c>
    </row>
    <row r="7" spans="2:9" ht="27.6" x14ac:dyDescent="0.3">
      <c r="B7" s="1358" t="s">
        <v>826</v>
      </c>
      <c r="C7" s="1375" t="s">
        <v>1501</v>
      </c>
      <c r="D7" s="1376" t="s">
        <v>644</v>
      </c>
      <c r="E7" s="1376" t="s">
        <v>645</v>
      </c>
      <c r="F7" s="1124" t="s">
        <v>1592</v>
      </c>
      <c r="G7" s="1396">
        <v>2.4</v>
      </c>
      <c r="H7" s="1397">
        <v>783000</v>
      </c>
      <c r="I7" s="1398" t="s">
        <v>1046</v>
      </c>
    </row>
    <row r="8" spans="2:9" ht="28.8" x14ac:dyDescent="0.3">
      <c r="B8" s="1358" t="s">
        <v>888</v>
      </c>
      <c r="C8" s="1375" t="s">
        <v>1502</v>
      </c>
      <c r="D8" s="1376" t="s">
        <v>822</v>
      </c>
      <c r="E8" s="1376" t="s">
        <v>646</v>
      </c>
      <c r="F8" s="1124" t="s">
        <v>1593</v>
      </c>
      <c r="G8" s="1396">
        <v>0.95995087234848475</v>
      </c>
      <c r="H8" s="1397">
        <v>240000</v>
      </c>
      <c r="I8" s="1398" t="s">
        <v>1046</v>
      </c>
    </row>
    <row r="9" spans="2:9" x14ac:dyDescent="0.3">
      <c r="B9" s="1358" t="s">
        <v>893</v>
      </c>
      <c r="C9" s="1375" t="s">
        <v>1503</v>
      </c>
      <c r="D9" s="1376" t="s">
        <v>819</v>
      </c>
      <c r="E9" s="1376" t="s">
        <v>376</v>
      </c>
      <c r="F9" s="1124" t="s">
        <v>1594</v>
      </c>
      <c r="G9" s="1396">
        <v>0.69</v>
      </c>
      <c r="H9" s="1397">
        <v>60000</v>
      </c>
      <c r="I9" s="1399" t="s">
        <v>1059</v>
      </c>
    </row>
    <row r="10" spans="2:9" ht="27.6" x14ac:dyDescent="0.3">
      <c r="B10" s="1358" t="s">
        <v>894</v>
      </c>
      <c r="C10" s="1375" t="s">
        <v>1504</v>
      </c>
      <c r="D10" s="1376" t="s">
        <v>647</v>
      </c>
      <c r="E10" s="1376" t="s">
        <v>648</v>
      </c>
      <c r="F10" s="1124" t="s">
        <v>1595</v>
      </c>
      <c r="G10" s="1396">
        <v>0.17045454545454544</v>
      </c>
      <c r="H10" s="1397">
        <v>1250000</v>
      </c>
      <c r="I10" s="1398" t="s">
        <v>1046</v>
      </c>
    </row>
    <row r="11" spans="2:9" ht="27.6" x14ac:dyDescent="0.3">
      <c r="B11" s="1358" t="s">
        <v>895</v>
      </c>
      <c r="C11" s="1375" t="s">
        <v>306</v>
      </c>
      <c r="D11" s="1376" t="s">
        <v>614</v>
      </c>
      <c r="E11" s="1376" t="s">
        <v>615</v>
      </c>
      <c r="F11" s="1124" t="s">
        <v>1596</v>
      </c>
      <c r="G11" s="1396">
        <v>0.4</v>
      </c>
      <c r="H11" s="1397">
        <v>92000</v>
      </c>
      <c r="I11" s="1400" t="s">
        <v>1047</v>
      </c>
    </row>
    <row r="12" spans="2:9" ht="27.6" x14ac:dyDescent="0.3">
      <c r="B12" s="1358" t="s">
        <v>896</v>
      </c>
      <c r="C12" s="1375" t="s">
        <v>1505</v>
      </c>
      <c r="D12" s="1376" t="s">
        <v>810</v>
      </c>
      <c r="E12" s="1376" t="s">
        <v>811</v>
      </c>
      <c r="F12" s="1124" t="s">
        <v>1597</v>
      </c>
      <c r="G12" s="1396">
        <v>0.8</v>
      </c>
      <c r="H12" s="1397">
        <v>4800000</v>
      </c>
      <c r="I12" s="1401" t="s">
        <v>1048</v>
      </c>
    </row>
    <row r="13" spans="2:9" ht="27.6" x14ac:dyDescent="0.3">
      <c r="B13" s="1358" t="s">
        <v>886</v>
      </c>
      <c r="C13" s="1375" t="s">
        <v>1506</v>
      </c>
      <c r="D13" s="1376" t="s">
        <v>1062</v>
      </c>
      <c r="E13" s="1376" t="s">
        <v>1063</v>
      </c>
      <c r="F13" s="1124" t="s">
        <v>1598</v>
      </c>
      <c r="G13" s="1396">
        <v>1.08</v>
      </c>
      <c r="H13" s="1397">
        <v>66000000</v>
      </c>
      <c r="I13" s="1400" t="s">
        <v>1047</v>
      </c>
    </row>
    <row r="14" spans="2:9" ht="27.6" x14ac:dyDescent="0.3">
      <c r="B14" s="1358" t="s">
        <v>889</v>
      </c>
      <c r="C14" s="1375" t="s">
        <v>1507</v>
      </c>
      <c r="D14" s="1376" t="s">
        <v>536</v>
      </c>
      <c r="E14" s="1376" t="s">
        <v>475</v>
      </c>
      <c r="F14" s="1124" t="s">
        <v>1599</v>
      </c>
      <c r="G14" s="1396">
        <v>0.86</v>
      </c>
      <c r="H14" s="1397">
        <v>16000000</v>
      </c>
      <c r="I14" s="1400" t="s">
        <v>1047</v>
      </c>
    </row>
    <row r="15" spans="2:9" ht="27.6" x14ac:dyDescent="0.3">
      <c r="B15" s="1358" t="s">
        <v>890</v>
      </c>
      <c r="C15" s="1375" t="s">
        <v>1509</v>
      </c>
      <c r="D15" s="1376" t="s">
        <v>475</v>
      </c>
      <c r="E15" s="1376" t="s">
        <v>812</v>
      </c>
      <c r="F15" s="1124" t="s">
        <v>1600</v>
      </c>
      <c r="G15" s="1396">
        <v>0</v>
      </c>
      <c r="H15" s="1397">
        <v>3000000</v>
      </c>
      <c r="I15" s="1398" t="s">
        <v>1046</v>
      </c>
    </row>
    <row r="16" spans="2:9" ht="28.8" x14ac:dyDescent="0.3">
      <c r="B16" s="1358" t="s">
        <v>897</v>
      </c>
      <c r="C16" s="1375" t="s">
        <v>1510</v>
      </c>
      <c r="D16" s="1376" t="s">
        <v>814</v>
      </c>
      <c r="E16" s="1376" t="s">
        <v>822</v>
      </c>
      <c r="F16" s="1124" t="s">
        <v>1601</v>
      </c>
      <c r="G16" s="1396">
        <v>0</v>
      </c>
      <c r="H16" s="1397">
        <v>12000000</v>
      </c>
      <c r="I16" s="1400" t="s">
        <v>506</v>
      </c>
    </row>
    <row r="17" spans="2:9" ht="27.6" x14ac:dyDescent="0.3">
      <c r="B17" s="1358" t="s">
        <v>898</v>
      </c>
      <c r="C17" s="1375" t="s">
        <v>1511</v>
      </c>
      <c r="D17" s="1376" t="s">
        <v>820</v>
      </c>
      <c r="E17" s="1376" t="s">
        <v>821</v>
      </c>
      <c r="F17" s="1124" t="s">
        <v>1616</v>
      </c>
      <c r="G17" s="1396">
        <v>0.4</v>
      </c>
      <c r="H17" s="1397">
        <v>375000</v>
      </c>
      <c r="I17" s="1400" t="s">
        <v>1047</v>
      </c>
    </row>
    <row r="18" spans="2:9" ht="28.8" x14ac:dyDescent="0.3">
      <c r="B18" s="1358" t="s">
        <v>899</v>
      </c>
      <c r="C18" s="1375" t="s">
        <v>1508</v>
      </c>
      <c r="D18" s="1376" t="s">
        <v>475</v>
      </c>
      <c r="E18" s="1376" t="s">
        <v>624</v>
      </c>
      <c r="F18" s="1124" t="s">
        <v>1599</v>
      </c>
      <c r="G18" s="1396">
        <v>0.86</v>
      </c>
      <c r="H18" s="1397">
        <v>150000</v>
      </c>
      <c r="I18" s="1400" t="s">
        <v>1047</v>
      </c>
    </row>
    <row r="19" spans="2:9" ht="27.6" x14ac:dyDescent="0.3">
      <c r="B19" s="1358" t="s">
        <v>891</v>
      </c>
      <c r="C19" s="1375" t="s">
        <v>1512</v>
      </c>
      <c r="D19" s="1376" t="s">
        <v>614</v>
      </c>
      <c r="E19" s="1376" t="s">
        <v>643</v>
      </c>
      <c r="F19" s="1124" t="s">
        <v>1602</v>
      </c>
      <c r="G19" s="1396">
        <v>0</v>
      </c>
      <c r="H19" s="1397">
        <v>475000</v>
      </c>
      <c r="I19" s="1400" t="s">
        <v>1047</v>
      </c>
    </row>
    <row r="20" spans="2:9" x14ac:dyDescent="0.3">
      <c r="B20" s="1358" t="s">
        <v>900</v>
      </c>
      <c r="C20" s="1375" t="s">
        <v>1617</v>
      </c>
      <c r="D20" s="1376" t="s">
        <v>816</v>
      </c>
      <c r="E20" s="1376" t="s">
        <v>823</v>
      </c>
      <c r="F20" s="1124" t="s">
        <v>1603</v>
      </c>
      <c r="G20" s="1396">
        <v>0</v>
      </c>
      <c r="H20" s="1397">
        <v>15000</v>
      </c>
      <c r="I20" s="1398" t="s">
        <v>1060</v>
      </c>
    </row>
    <row r="21" spans="2:9" ht="43.2" x14ac:dyDescent="0.3">
      <c r="B21" s="1358" t="s">
        <v>892</v>
      </c>
      <c r="C21" s="1375" t="s">
        <v>1513</v>
      </c>
      <c r="D21" s="1376" t="s">
        <v>651</v>
      </c>
      <c r="E21" s="1376" t="s">
        <v>626</v>
      </c>
      <c r="F21" s="1124" t="s">
        <v>1604</v>
      </c>
      <c r="G21" s="1396">
        <v>0.94</v>
      </c>
      <c r="H21" s="1397">
        <v>2400000</v>
      </c>
      <c r="I21" s="1400" t="s">
        <v>1047</v>
      </c>
    </row>
    <row r="22" spans="2:9" ht="27.6" x14ac:dyDescent="0.3">
      <c r="B22" s="1358" t="s">
        <v>833</v>
      </c>
      <c r="C22" s="1375" t="s">
        <v>1605</v>
      </c>
      <c r="D22" s="1376" t="s">
        <v>800</v>
      </c>
      <c r="E22" s="1376" t="s">
        <v>376</v>
      </c>
      <c r="F22" s="1124" t="s">
        <v>706</v>
      </c>
      <c r="G22" s="1396">
        <v>0</v>
      </c>
      <c r="H22" s="1397">
        <v>8500000</v>
      </c>
      <c r="I22" s="1400" t="s">
        <v>1047</v>
      </c>
    </row>
    <row r="23" spans="2:9" ht="27.6" x14ac:dyDescent="0.3">
      <c r="B23" s="1358" t="s">
        <v>901</v>
      </c>
      <c r="C23" s="1375" t="s">
        <v>1514</v>
      </c>
      <c r="D23" s="1376" t="s">
        <v>817</v>
      </c>
      <c r="E23" s="1376" t="s">
        <v>376</v>
      </c>
      <c r="F23" s="1124" t="s">
        <v>1606</v>
      </c>
      <c r="G23" s="1396">
        <v>0.18</v>
      </c>
      <c r="H23" s="1397">
        <v>297500</v>
      </c>
      <c r="I23" s="1400" t="s">
        <v>506</v>
      </c>
    </row>
    <row r="24" spans="2:9" ht="15" thickBot="1" x14ac:dyDescent="0.35">
      <c r="B24" s="1360" t="s">
        <v>902</v>
      </c>
      <c r="C24" s="1377" t="s">
        <v>1618</v>
      </c>
      <c r="D24" s="1378" t="s">
        <v>818</v>
      </c>
      <c r="E24" s="1378" t="s">
        <v>816</v>
      </c>
      <c r="F24" s="1125" t="s">
        <v>1607</v>
      </c>
      <c r="G24" s="1402">
        <v>0</v>
      </c>
      <c r="H24" s="1403">
        <v>30320</v>
      </c>
      <c r="I24" s="1404" t="s">
        <v>1060</v>
      </c>
    </row>
    <row r="25" spans="2:9" s="1127" customFormat="1" ht="15" thickBot="1" x14ac:dyDescent="0.35">
      <c r="B25" s="1361"/>
      <c r="C25" s="1379"/>
      <c r="D25" s="1380"/>
      <c r="E25" s="1380"/>
      <c r="F25" s="1126"/>
      <c r="G25" s="1362"/>
      <c r="H25" s="1405"/>
      <c r="I25" s="1406"/>
    </row>
    <row r="26" spans="2:9" s="1132" customFormat="1" ht="15.6" x14ac:dyDescent="0.3">
      <c r="B26" s="1353" t="s">
        <v>1056</v>
      </c>
      <c r="C26" s="1370"/>
      <c r="D26" s="1371"/>
      <c r="E26" s="1371"/>
      <c r="F26" s="1135"/>
      <c r="G26" s="1354"/>
      <c r="H26" s="1389"/>
      <c r="I26" s="1390"/>
    </row>
    <row r="27" spans="2:9" s="1122" customFormat="1" ht="15" thickBot="1" x14ac:dyDescent="0.35">
      <c r="B27" s="1355" t="s">
        <v>1014</v>
      </c>
      <c r="C27" s="1372" t="s">
        <v>2</v>
      </c>
      <c r="D27" s="1372" t="s">
        <v>1498</v>
      </c>
      <c r="E27" s="1372" t="s">
        <v>1477</v>
      </c>
      <c r="F27" s="1121" t="s">
        <v>605</v>
      </c>
      <c r="G27" s="1356" t="s">
        <v>12</v>
      </c>
      <c r="H27" s="1391" t="s">
        <v>1026</v>
      </c>
      <c r="I27" s="1392" t="s">
        <v>15</v>
      </c>
    </row>
    <row r="28" spans="2:9" ht="28.8" x14ac:dyDescent="0.3">
      <c r="B28" s="1357" t="str">
        <f>MTP_points!X2</f>
        <v>M1</v>
      </c>
      <c r="C28" s="1373" t="str">
        <f>MTP_points!D2</f>
        <v>Grafton-Smithtown-Don Knotts Intersection Improvements</v>
      </c>
      <c r="D28" s="1374" t="str">
        <f>MTP_points!F2</f>
        <v>Grafton/Don Knotts Blvd</v>
      </c>
      <c r="E28" s="1374" t="str">
        <f>MTP_points!G2</f>
        <v>Smithtown Rd</v>
      </c>
      <c r="F28" s="1123" t="s">
        <v>1571</v>
      </c>
      <c r="G28" s="1407" t="s">
        <v>376</v>
      </c>
      <c r="H28" s="1408">
        <f>ROUND(MTP_points!K2,-5)</f>
        <v>2000000</v>
      </c>
      <c r="I28" s="1433" t="s">
        <v>1049</v>
      </c>
    </row>
    <row r="29" spans="2:9" ht="24" x14ac:dyDescent="0.3">
      <c r="B29" s="1358" t="str">
        <f>MTP_points!X3</f>
        <v>M2</v>
      </c>
      <c r="C29" s="1375" t="str">
        <f>MTP_points!D3</f>
        <v>Spruce-Pleasant Intersection Improvements</v>
      </c>
      <c r="D29" s="1376" t="str">
        <f>MTP_points!F3</f>
        <v>Spruce St</v>
      </c>
      <c r="E29" s="1376" t="str">
        <f>MTP_points!G3</f>
        <v>Pleasant St</v>
      </c>
      <c r="F29" s="1124" t="s">
        <v>1572</v>
      </c>
      <c r="G29" s="1409" t="s">
        <v>376</v>
      </c>
      <c r="H29" s="1410">
        <f>ROUND(MTP_points!K3,-5)</f>
        <v>300000</v>
      </c>
      <c r="I29" s="1434" t="s">
        <v>1049</v>
      </c>
    </row>
    <row r="30" spans="2:9" ht="24" x14ac:dyDescent="0.3">
      <c r="B30" s="1358" t="str">
        <f>MTP_points!X4</f>
        <v>M3</v>
      </c>
      <c r="C30" s="1375" t="str">
        <f>MTP_points!D4</f>
        <v>Spruce-Walnut Intersection Improvements</v>
      </c>
      <c r="D30" s="1376" t="str">
        <f>MTP_points!F4</f>
        <v>Spruce St</v>
      </c>
      <c r="E30" s="1376" t="str">
        <f>MTP_points!G4</f>
        <v>Walnut St</v>
      </c>
      <c r="F30" s="1124" t="s">
        <v>1572</v>
      </c>
      <c r="G30" s="1409" t="s">
        <v>376</v>
      </c>
      <c r="H30" s="1410">
        <f>ROUND(MTP_points!K4,-5)</f>
        <v>200000</v>
      </c>
      <c r="I30" s="1434" t="s">
        <v>1049</v>
      </c>
    </row>
    <row r="31" spans="2:9" ht="24" x14ac:dyDescent="0.3">
      <c r="B31" s="1358" t="str">
        <f>MTP_points!X5</f>
        <v>M4</v>
      </c>
      <c r="C31" s="1375" t="str">
        <f>MTP_points!D5</f>
        <v>High-Walnut Intersection Improvements</v>
      </c>
      <c r="D31" s="1376" t="str">
        <f>MTP_points!F5</f>
        <v>High St</v>
      </c>
      <c r="E31" s="1376" t="str">
        <f>MTP_points!G5</f>
        <v>Walnut St</v>
      </c>
      <c r="F31" s="1124" t="s">
        <v>1572</v>
      </c>
      <c r="G31" s="1409" t="s">
        <v>376</v>
      </c>
      <c r="H31" s="1410">
        <f>ROUND(MTP_points!K5,-5)</f>
        <v>200000</v>
      </c>
      <c r="I31" s="1434" t="s">
        <v>1049</v>
      </c>
    </row>
    <row r="32" spans="2:9" x14ac:dyDescent="0.3">
      <c r="B32" s="1358" t="str">
        <f>MTP_points!X6</f>
        <v>M6</v>
      </c>
      <c r="C32" s="1375" t="str">
        <f>MTP_points!D6</f>
        <v>High-Willey Intersection Improvements</v>
      </c>
      <c r="D32" s="1376" t="str">
        <f>MTP_points!F6</f>
        <v>High St</v>
      </c>
      <c r="E32" s="1376" t="str">
        <f>MTP_points!G6</f>
        <v>Willey St</v>
      </c>
      <c r="F32" s="1124" t="s">
        <v>1574</v>
      </c>
      <c r="G32" s="1409" t="s">
        <v>376</v>
      </c>
      <c r="H32" s="1410">
        <f>ROUND(MTP_points!K6,-5)</f>
        <v>200000</v>
      </c>
      <c r="I32" s="1434" t="s">
        <v>1049</v>
      </c>
    </row>
    <row r="33" spans="2:9" x14ac:dyDescent="0.3">
      <c r="B33" s="1358" t="str">
        <f>MTP_points!X7</f>
        <v>M7</v>
      </c>
      <c r="C33" s="1375" t="str">
        <f>MTP_points!D7</f>
        <v>Richwood-North Willey Intersection Improvements</v>
      </c>
      <c r="D33" s="1376" t="str">
        <f>MTP_points!F7</f>
        <v>Richwood Ave</v>
      </c>
      <c r="E33" s="1376" t="str">
        <f>MTP_points!G7</f>
        <v>North Willey St</v>
      </c>
      <c r="F33" s="1124" t="s">
        <v>1575</v>
      </c>
      <c r="G33" s="1409" t="s">
        <v>376</v>
      </c>
      <c r="H33" s="1410">
        <f>ROUND(MTP_points!K7,-5)</f>
        <v>1500000</v>
      </c>
      <c r="I33" s="1434" t="s">
        <v>1049</v>
      </c>
    </row>
    <row r="34" spans="2:9" x14ac:dyDescent="0.3">
      <c r="B34" s="1358" t="str">
        <f>MTP_points!X8</f>
        <v>M8</v>
      </c>
      <c r="C34" s="1375" t="str">
        <f>MTP_points!D8</f>
        <v>University-Prospect Intersection Improvements</v>
      </c>
      <c r="D34" s="1376" t="str">
        <f>MTP_points!F8</f>
        <v>University Ave</v>
      </c>
      <c r="E34" s="1376" t="str">
        <f>MTP_points!G8</f>
        <v>Prospect St</v>
      </c>
      <c r="F34" s="1124" t="s">
        <v>1576</v>
      </c>
      <c r="G34" s="1409" t="s">
        <v>376</v>
      </c>
      <c r="H34" s="1410">
        <f>ROUND(MTP_points!K8,-5)</f>
        <v>600000</v>
      </c>
      <c r="I34" s="1434" t="s">
        <v>1049</v>
      </c>
    </row>
    <row r="35" spans="2:9" x14ac:dyDescent="0.3">
      <c r="B35" s="1358" t="str">
        <f>MTP_points!X9</f>
        <v>M9</v>
      </c>
      <c r="C35" s="1375" t="str">
        <f>MTP_points!D9</f>
        <v>Stewart-Protzman Intersection Improvements</v>
      </c>
      <c r="D35" s="1376" t="str">
        <f>MTP_points!F9</f>
        <v>Stewart St</v>
      </c>
      <c r="E35" s="1376" t="str">
        <f>MTP_points!G9</f>
        <v>Protzman St</v>
      </c>
      <c r="F35" s="1124" t="s">
        <v>1577</v>
      </c>
      <c r="G35" s="1409" t="s">
        <v>376</v>
      </c>
      <c r="H35" s="1410">
        <f>ROUND(MTP_points!K9,-5)</f>
        <v>1100000</v>
      </c>
      <c r="I35" s="1434" t="s">
        <v>1049</v>
      </c>
    </row>
    <row r="36" spans="2:9" ht="24" x14ac:dyDescent="0.3">
      <c r="B36" s="1358" t="str">
        <f>MTP_points!X10</f>
        <v>M10</v>
      </c>
      <c r="C36" s="1375" t="str">
        <f>MTP_points!D10</f>
        <v>WV705-Stewartstown Intersection Improvements</v>
      </c>
      <c r="D36" s="1376" t="str">
        <f>MTP_points!F10</f>
        <v>WV 705</v>
      </c>
      <c r="E36" s="1376" t="str">
        <f>MTP_points!G10</f>
        <v>Stewartstown Rd</v>
      </c>
      <c r="F36" s="1124" t="s">
        <v>1578</v>
      </c>
      <c r="G36" s="1409" t="s">
        <v>376</v>
      </c>
      <c r="H36" s="1410">
        <f>ROUND(MTP_points!K10,-5)</f>
        <v>1300000</v>
      </c>
      <c r="I36" s="1434" t="s">
        <v>1049</v>
      </c>
    </row>
    <row r="37" spans="2:9" ht="28.8" x14ac:dyDescent="0.3">
      <c r="B37" s="1358" t="str">
        <f>MTP_points!X11</f>
        <v>M11</v>
      </c>
      <c r="C37" s="1375" t="str">
        <f>MTP_points!D11</f>
        <v>WV705-Burroughs-Van Voorhis Intersection Improvements</v>
      </c>
      <c r="D37" s="1376" t="str">
        <f>MTP_points!F11</f>
        <v>WV 705/Burroughs St</v>
      </c>
      <c r="E37" s="1376" t="str">
        <f>MTP_points!G11</f>
        <v>Van Voorhis Rd</v>
      </c>
      <c r="F37" s="1124" t="s">
        <v>1579</v>
      </c>
      <c r="G37" s="1409" t="s">
        <v>376</v>
      </c>
      <c r="H37" s="1410">
        <f>ROUND(MTP_points!K11,-5)</f>
        <v>1900000</v>
      </c>
      <c r="I37" s="1434" t="s">
        <v>1049</v>
      </c>
    </row>
    <row r="38" spans="2:9" ht="24" x14ac:dyDescent="0.3">
      <c r="B38" s="1358" t="str">
        <f>MTP_points!X12</f>
        <v>M12</v>
      </c>
      <c r="C38" s="1375" t="str">
        <f>MTP_points!D12</f>
        <v>Van Voorhis-West Run Intersection Improvements</v>
      </c>
      <c r="D38" s="1376" t="str">
        <f>MTP_points!F12</f>
        <v>Van Voorhis Rd</v>
      </c>
      <c r="E38" s="1376" t="str">
        <f>MTP_points!G12</f>
        <v>West Run Rd</v>
      </c>
      <c r="F38" s="1124" t="s">
        <v>1580</v>
      </c>
      <c r="G38" s="1409" t="s">
        <v>376</v>
      </c>
      <c r="H38" s="1410">
        <f>ROUND(MTP_points!K12,-5)</f>
        <v>500000</v>
      </c>
      <c r="I38" s="1434" t="s">
        <v>1049</v>
      </c>
    </row>
    <row r="39" spans="2:9" ht="28.8" x14ac:dyDescent="0.3">
      <c r="B39" s="1358" t="str">
        <f>MTP_points!X13</f>
        <v>M14</v>
      </c>
      <c r="C39" s="1375" t="str">
        <f>MTP_points!D13</f>
        <v>Point Marion-Stewartstown Intersection Improvements</v>
      </c>
      <c r="D39" s="1376" t="str">
        <f>MTP_points!F13</f>
        <v>Point Marion Rd</v>
      </c>
      <c r="E39" s="1376" t="str">
        <f>MTP_points!G13</f>
        <v>Stewartstown Rd</v>
      </c>
      <c r="F39" s="1124" t="s">
        <v>1581</v>
      </c>
      <c r="G39" s="1409" t="s">
        <v>376</v>
      </c>
      <c r="H39" s="1410">
        <f>ROUND(MTP_points!K13,-5)</f>
        <v>2000000</v>
      </c>
      <c r="I39" s="1434" t="s">
        <v>1049</v>
      </c>
    </row>
    <row r="40" spans="2:9" ht="28.8" x14ac:dyDescent="0.3">
      <c r="B40" s="1358" t="str">
        <f>MTP_points!X14</f>
        <v>M15</v>
      </c>
      <c r="C40" s="1375" t="str">
        <f>MTP_points!D14</f>
        <v>Hartman Run-Airport Access Intersection Improvements</v>
      </c>
      <c r="D40" s="1376" t="str">
        <f>MTP_points!F14</f>
        <v>Hartman Run Rd</v>
      </c>
      <c r="E40" s="1376" t="str">
        <f>MTP_points!G14</f>
        <v>Airport Access</v>
      </c>
      <c r="F40" s="1124" t="s">
        <v>1582</v>
      </c>
      <c r="G40" s="1409" t="s">
        <v>376</v>
      </c>
      <c r="H40" s="1410">
        <f>ROUND(MTP_points!K14,-5)</f>
        <v>1200000</v>
      </c>
      <c r="I40" s="1434" t="s">
        <v>1049</v>
      </c>
    </row>
    <row r="41" spans="2:9" ht="24" x14ac:dyDescent="0.3">
      <c r="B41" s="1358" t="str">
        <f>MTP_points!X15</f>
        <v>M16</v>
      </c>
      <c r="C41" s="1375" t="str">
        <f>MTP_points!D15</f>
        <v>Cheat-Old Cheat Intersection Improvements</v>
      </c>
      <c r="D41" s="1376" t="str">
        <f>MTP_points!F15</f>
        <v>Cheat Rd</v>
      </c>
      <c r="E41" s="1376" t="str">
        <f>MTP_points!G15</f>
        <v>Old Cheat Rd</v>
      </c>
      <c r="F41" s="1124" t="s">
        <v>1608</v>
      </c>
      <c r="G41" s="1409" t="s">
        <v>376</v>
      </c>
      <c r="H41" s="1410">
        <f>ROUND(MTP_points!K15,-5)</f>
        <v>200000</v>
      </c>
      <c r="I41" s="1434" t="s">
        <v>1049</v>
      </c>
    </row>
    <row r="42" spans="2:9" x14ac:dyDescent="0.3">
      <c r="B42" s="1358" t="str">
        <f>MTP_points!X16</f>
        <v>M17</v>
      </c>
      <c r="C42" s="1375" t="str">
        <f>MTP_points!D16</f>
        <v>Cheat-Tyrone Avery Intersection Improvements</v>
      </c>
      <c r="D42" s="1376" t="str">
        <f>MTP_points!F16</f>
        <v>Cheat Rd</v>
      </c>
      <c r="E42" s="1376" t="str">
        <f>MTP_points!G16</f>
        <v>Tyrone-Avery Rd</v>
      </c>
      <c r="F42" s="1124" t="s">
        <v>1583</v>
      </c>
      <c r="G42" s="1409" t="s">
        <v>376</v>
      </c>
      <c r="H42" s="1410">
        <f>ROUND(MTP_points!K16,-5)</f>
        <v>800000</v>
      </c>
      <c r="I42" s="1434" t="s">
        <v>1049</v>
      </c>
    </row>
    <row r="43" spans="2:9" x14ac:dyDescent="0.3">
      <c r="B43" s="1358" t="str">
        <f>MTP_points!X17</f>
        <v>M18</v>
      </c>
      <c r="C43" s="1375" t="str">
        <f>MTP_points!D17</f>
        <v>Tyrone-Tyrone Avery Intersection Improvements</v>
      </c>
      <c r="D43" s="1376" t="str">
        <f>MTP_points!F17</f>
        <v>Tyrone Rd</v>
      </c>
      <c r="E43" s="1376" t="str">
        <f>MTP_points!G17</f>
        <v>Tyrone-Avery Rd</v>
      </c>
      <c r="F43" s="1124" t="s">
        <v>1583</v>
      </c>
      <c r="G43" s="1409" t="s">
        <v>376</v>
      </c>
      <c r="H43" s="1410">
        <f>ROUND(MTP_points!K17,-5)</f>
        <v>400000</v>
      </c>
      <c r="I43" s="1434" t="s">
        <v>1049</v>
      </c>
    </row>
    <row r="44" spans="2:9" ht="24" x14ac:dyDescent="0.3">
      <c r="B44" s="1358" t="str">
        <f>MTP_points!X18</f>
        <v>M19</v>
      </c>
      <c r="C44" s="1375" t="str">
        <f>MTP_points!D18</f>
        <v>WV100-Fort Martin Intersection Improvements</v>
      </c>
      <c r="D44" s="1376" t="str">
        <f>MTP_points!F18</f>
        <v>WV100</v>
      </c>
      <c r="E44" s="1376" t="str">
        <f>MTP_points!G18</f>
        <v>Fort Martin Rd</v>
      </c>
      <c r="F44" s="1124" t="s">
        <v>1584</v>
      </c>
      <c r="G44" s="1409" t="s">
        <v>376</v>
      </c>
      <c r="H44" s="1410">
        <f>ROUND(MTP_points!K18,-5)</f>
        <v>1100000</v>
      </c>
      <c r="I44" s="1434" t="s">
        <v>1049</v>
      </c>
    </row>
    <row r="45" spans="2:9" ht="28.8" x14ac:dyDescent="0.3">
      <c r="B45" s="1358" t="str">
        <f>MTP_points!X19</f>
        <v>M20</v>
      </c>
      <c r="C45" s="1375" t="str">
        <f>MTP_points!D19</f>
        <v>WV7-Deckers Creek-Mineral Pedestrian Improvements</v>
      </c>
      <c r="D45" s="1376" t="str">
        <f>MTP_points!F19</f>
        <v>Mineral Ave</v>
      </c>
      <c r="E45" s="1376" t="str">
        <f>MTP_points!G19</f>
        <v>Deckers Creek Blvd</v>
      </c>
      <c r="F45" s="1124" t="s">
        <v>1609</v>
      </c>
      <c r="G45" s="1409" t="s">
        <v>376</v>
      </c>
      <c r="H45" s="1410">
        <f>ROUND(MTP_points!K19,-5)</f>
        <v>400000</v>
      </c>
      <c r="I45" s="1434" t="s">
        <v>1049</v>
      </c>
    </row>
    <row r="46" spans="2:9" x14ac:dyDescent="0.3">
      <c r="B46" s="1358" t="str">
        <f>MTP_points!X20</f>
        <v>M21</v>
      </c>
      <c r="C46" s="1375" t="str">
        <f>MTP_points!D20</f>
        <v>University-Walnut Pedestrian Improvements</v>
      </c>
      <c r="D46" s="1376" t="str">
        <f>MTP_points!F20</f>
        <v>University Ave</v>
      </c>
      <c r="E46" s="1376" t="str">
        <f>MTP_points!G20</f>
        <v>Walnut St</v>
      </c>
      <c r="F46" s="1124" t="s">
        <v>1585</v>
      </c>
      <c r="G46" s="1409" t="s">
        <v>376</v>
      </c>
      <c r="H46" s="1410">
        <f>ROUND(MTP_points!K20,-5)</f>
        <v>400000</v>
      </c>
      <c r="I46" s="1434" t="s">
        <v>1049</v>
      </c>
    </row>
    <row r="47" spans="2:9" ht="28.8" x14ac:dyDescent="0.3">
      <c r="B47" s="1358" t="str">
        <f>MTP_points!X21</f>
        <v>M22</v>
      </c>
      <c r="C47" s="1375" t="str">
        <f>MTP_points!D21</f>
        <v>Don Knotts-University-Pleasant Pedestrian Improvements</v>
      </c>
      <c r="D47" s="1376" t="str">
        <f>MTP_points!F21</f>
        <v>University/Don Knotts Blvd</v>
      </c>
      <c r="E47" s="1376" t="str">
        <f>MTP_points!G21</f>
        <v>Pleasant St</v>
      </c>
      <c r="F47" s="1124" t="s">
        <v>1586</v>
      </c>
      <c r="G47" s="1409" t="s">
        <v>376</v>
      </c>
      <c r="H47" s="1410">
        <f>ROUND(MTP_points!K21,-5)</f>
        <v>400000</v>
      </c>
      <c r="I47" s="1434" t="s">
        <v>1049</v>
      </c>
    </row>
    <row r="48" spans="2:9" ht="24" x14ac:dyDescent="0.3">
      <c r="B48" s="1358" t="str">
        <f>MTP_points!X22</f>
        <v>M23</v>
      </c>
      <c r="C48" s="1375" t="str">
        <f>MTP_points!D22</f>
        <v>Grumbeins Island Improvements</v>
      </c>
      <c r="D48" s="1376" t="str">
        <f>MTP_points!F22</f>
        <v>University Ave</v>
      </c>
      <c r="E48" s="1376" t="str">
        <f>MTP_points!G22</f>
        <v>College Ave</v>
      </c>
      <c r="F48" s="1124" t="s">
        <v>1587</v>
      </c>
      <c r="G48" s="1409" t="s">
        <v>376</v>
      </c>
      <c r="H48" s="1410">
        <f>ROUND(MTP_points!K22,-5)</f>
        <v>3400000</v>
      </c>
      <c r="I48" s="1434" t="s">
        <v>1049</v>
      </c>
    </row>
    <row r="49" spans="2:9" x14ac:dyDescent="0.3">
      <c r="B49" s="1358" t="str">
        <f>MTP_points!X23</f>
        <v>M24</v>
      </c>
      <c r="C49" s="1375" t="str">
        <f>MTP_points!D23</f>
        <v>High-Foundry Pedestrian Improvements</v>
      </c>
      <c r="D49" s="1376" t="str">
        <f>MTP_points!F23</f>
        <v>High St</v>
      </c>
      <c r="E49" s="1376" t="str">
        <f>MTP_points!G23</f>
        <v>Foundry Ave</v>
      </c>
      <c r="F49" s="1124" t="s">
        <v>1610</v>
      </c>
      <c r="G49" s="1409" t="s">
        <v>376</v>
      </c>
      <c r="H49" s="1410">
        <f>ROUND(MTP_points!K23,-5)</f>
        <v>300000</v>
      </c>
      <c r="I49" s="1434" t="s">
        <v>1049</v>
      </c>
    </row>
    <row r="50" spans="2:9" ht="24" x14ac:dyDescent="0.3">
      <c r="B50" s="1358" t="str">
        <f>MTP_points!X24</f>
        <v>M25</v>
      </c>
      <c r="C50" s="1375" t="str">
        <f>MTP_points!D24</f>
        <v>Chestnut-Walnut Pedestrian Improvements</v>
      </c>
      <c r="D50" s="1376" t="str">
        <f>MTP_points!F24</f>
        <v>Chestnut St</v>
      </c>
      <c r="E50" s="1376" t="str">
        <f>MTP_points!G24</f>
        <v>Walnut St</v>
      </c>
      <c r="F50" s="1124" t="s">
        <v>1573</v>
      </c>
      <c r="G50" s="1409" t="s">
        <v>376</v>
      </c>
      <c r="H50" s="1410">
        <f>ROUND(MTP_points!K24,-5)</f>
        <v>100000</v>
      </c>
      <c r="I50" s="1434" t="s">
        <v>1049</v>
      </c>
    </row>
    <row r="51" spans="2:9" ht="24" x14ac:dyDescent="0.3">
      <c r="B51" s="1358" t="str">
        <f>MTP_points!X25</f>
        <v>M26</v>
      </c>
      <c r="C51" s="1375" t="str">
        <f>MTP_points!D25</f>
        <v>Patteson Dr-Morrill Way Pedestrian Improvements</v>
      </c>
      <c r="D51" s="1376" t="str">
        <f>MTP_points!F25</f>
        <v>Patteson Dr</v>
      </c>
      <c r="E51" s="1376" t="str">
        <f>MTP_points!G25</f>
        <v>Morrill Way</v>
      </c>
      <c r="F51" s="1124" t="s">
        <v>1588</v>
      </c>
      <c r="G51" s="1409" t="s">
        <v>376</v>
      </c>
      <c r="H51" s="1410">
        <f>ROUND(MTP_points!K25,-5)</f>
        <v>200000</v>
      </c>
      <c r="I51" s="1434" t="s">
        <v>1049</v>
      </c>
    </row>
    <row r="52" spans="2:9" ht="28.8" x14ac:dyDescent="0.3">
      <c r="B52" s="1358" t="str">
        <f>MTP_points!X26</f>
        <v>M27</v>
      </c>
      <c r="C52" s="1375" t="str">
        <f>MTP_points!D26</f>
        <v>Patteson Dr-University Ave-Van Voorhis Rd Pedestrian Improvements</v>
      </c>
      <c r="D52" s="1376" t="str">
        <f>MTP_points!F26</f>
        <v>Patteson Dr</v>
      </c>
      <c r="E52" s="1376" t="str">
        <f>MTP_points!G26</f>
        <v>University Ave</v>
      </c>
      <c r="F52" s="1124" t="s">
        <v>1589</v>
      </c>
      <c r="G52" s="1409" t="s">
        <v>376</v>
      </c>
      <c r="H52" s="1410">
        <f>ROUND(MTP_points!K26,-5)</f>
        <v>300000</v>
      </c>
      <c r="I52" s="1434" t="s">
        <v>1049</v>
      </c>
    </row>
    <row r="53" spans="2:9" ht="29.4" thickBot="1" x14ac:dyDescent="0.35">
      <c r="B53" s="1360" t="str">
        <f>MTP_points!X27</f>
        <v>M28</v>
      </c>
      <c r="C53" s="1377" t="str">
        <f>MTP_points!D27</f>
        <v>University Ave-College Ave Pedestrian Improvements</v>
      </c>
      <c r="D53" s="1378" t="str">
        <f>MTP_points!F27</f>
        <v>University Ave</v>
      </c>
      <c r="E53" s="1378" t="str">
        <f>MTP_points!G27</f>
        <v>College Ave</v>
      </c>
      <c r="F53" s="1125" t="s">
        <v>1590</v>
      </c>
      <c r="G53" s="1411" t="s">
        <v>376</v>
      </c>
      <c r="H53" s="1412">
        <f>ROUND(MTP_points!K27,-5)</f>
        <v>300000</v>
      </c>
      <c r="I53" s="1435" t="s">
        <v>1049</v>
      </c>
    </row>
    <row r="54" spans="2:9" s="1128" customFormat="1" ht="15" thickBot="1" x14ac:dyDescent="0.35">
      <c r="B54" s="1363"/>
      <c r="C54" s="1381"/>
      <c r="D54" s="1382"/>
      <c r="E54" s="1382"/>
      <c r="F54" s="1131"/>
      <c r="G54" s="1413"/>
      <c r="H54" s="1414"/>
      <c r="I54" s="1415"/>
    </row>
    <row r="55" spans="2:9" s="1132" customFormat="1" ht="15.6" x14ac:dyDescent="0.3">
      <c r="B55" s="1353" t="s">
        <v>1057</v>
      </c>
      <c r="C55" s="1370"/>
      <c r="D55" s="1371"/>
      <c r="E55" s="1371"/>
      <c r="F55" s="1135"/>
      <c r="G55" s="1354"/>
      <c r="H55" s="1389"/>
      <c r="I55" s="1390"/>
    </row>
    <row r="56" spans="2:9" s="1122" customFormat="1" ht="15" thickBot="1" x14ac:dyDescent="0.35">
      <c r="B56" s="1355" t="s">
        <v>1014</v>
      </c>
      <c r="C56" s="1372" t="s">
        <v>2</v>
      </c>
      <c r="D56" s="1372" t="s">
        <v>1498</v>
      </c>
      <c r="E56" s="1372" t="s">
        <v>1477</v>
      </c>
      <c r="F56" s="1121" t="s">
        <v>605</v>
      </c>
      <c r="G56" s="1356" t="s">
        <v>12</v>
      </c>
      <c r="H56" s="1391" t="s">
        <v>1026</v>
      </c>
      <c r="I56" s="1392" t="s">
        <v>15</v>
      </c>
    </row>
    <row r="57" spans="2:9" ht="27.6" x14ac:dyDescent="0.3">
      <c r="B57" s="1357" t="str">
        <f>'MTP_lines-polygons'!E2</f>
        <v>M45</v>
      </c>
      <c r="C57" s="1373" t="str">
        <f>'MTP_lines-polygons'!F2</f>
        <v>Van Voorhis Road Improvement - Segment 2</v>
      </c>
      <c r="D57" s="1374" t="str">
        <f>'MTP_lines-polygons'!H2</f>
        <v>West Run Rd</v>
      </c>
      <c r="E57" s="1374" t="str">
        <f>'MTP_lines-polygons'!I2</f>
        <v>Bakers Ridge Rd</v>
      </c>
      <c r="F57" s="1123" t="s">
        <v>1570</v>
      </c>
      <c r="G57" s="1393">
        <f>'MTP_lines-polygons'!K2</f>
        <v>0.42761890549242421</v>
      </c>
      <c r="H57" s="1416">
        <f>ROUND('MTP_lines-polygons'!P2,-5)</f>
        <v>6400000</v>
      </c>
      <c r="I57" s="1417" t="s">
        <v>1048</v>
      </c>
    </row>
    <row r="58" spans="2:9" ht="27.6" x14ac:dyDescent="0.3">
      <c r="B58" s="1358" t="str">
        <f>'MTP_lines-polygons'!E3</f>
        <v>M48</v>
      </c>
      <c r="C58" s="1375" t="str">
        <f>'MTP_lines-polygons'!F3</f>
        <v>Stewartstown Rd Improvements</v>
      </c>
      <c r="D58" s="1376" t="str">
        <f>'MTP_lines-polygons'!H3</f>
        <v>WV 705</v>
      </c>
      <c r="E58" s="1376" t="str">
        <f>'MTP_lines-polygons'!I3</f>
        <v>Point Marion Rd</v>
      </c>
      <c r="F58" s="1124" t="s">
        <v>1569</v>
      </c>
      <c r="G58" s="1396">
        <f>'MTP_lines-polygons'!K3</f>
        <v>1.5615947267668751</v>
      </c>
      <c r="H58" s="1418">
        <f>ROUND('MTP_lines-polygons'!P3,-5)</f>
        <v>13700000</v>
      </c>
      <c r="I58" s="1401" t="s">
        <v>1048</v>
      </c>
    </row>
    <row r="59" spans="2:9" ht="28.8" x14ac:dyDescent="0.3">
      <c r="B59" s="1358" t="str">
        <f>'MTP_lines-polygons'!E4</f>
        <v>M49a</v>
      </c>
      <c r="C59" s="1375" t="str">
        <f>'MTP_lines-polygons'!F4</f>
        <v>University Ave Complete Street - Segment 1</v>
      </c>
      <c r="D59" s="1376" t="str">
        <f>'MTP_lines-polygons'!H4</f>
        <v>Boyers Ave</v>
      </c>
      <c r="E59" s="1376" t="str">
        <f>'MTP_lines-polygons'!I4</f>
        <v>Patteson/Van Voorhis Rd</v>
      </c>
      <c r="F59" s="1124" t="s">
        <v>1611</v>
      </c>
      <c r="G59" s="1396">
        <f>'MTP_lines-polygons'!K4</f>
        <v>1.3281909062500001</v>
      </c>
      <c r="H59" s="1418">
        <f>ROUND('MTP_lines-polygons'!P4,-5)</f>
        <v>17300000</v>
      </c>
      <c r="I59" s="1419" t="s">
        <v>672</v>
      </c>
    </row>
    <row r="60" spans="2:9" ht="28.8" x14ac:dyDescent="0.3">
      <c r="B60" s="1358" t="str">
        <f>'MTP_lines-polygons'!E5</f>
        <v>M49b</v>
      </c>
      <c r="C60" s="1375" t="str">
        <f>'MTP_lines-polygons'!F5</f>
        <v>University Ave Complete Street - Segment 2</v>
      </c>
      <c r="D60" s="1376" t="str">
        <f>'MTP_lines-polygons'!H5</f>
        <v>Patteson/Van Voorhis Rd</v>
      </c>
      <c r="E60" s="1376" t="str">
        <f>'MTP_lines-polygons'!I5</f>
        <v>8th St</v>
      </c>
      <c r="F60" s="1124" t="s">
        <v>1612</v>
      </c>
      <c r="G60" s="1396">
        <f>'MTP_lines-polygons'!K5</f>
        <v>0.4839052503787879</v>
      </c>
      <c r="H60" s="1418">
        <f>ROUND('MTP_lines-polygons'!P5,-5)</f>
        <v>6300000</v>
      </c>
      <c r="I60" s="1419" t="s">
        <v>672</v>
      </c>
    </row>
    <row r="61" spans="2:9" ht="28.8" x14ac:dyDescent="0.3">
      <c r="B61" s="1358" t="str">
        <f>'MTP_lines-polygons'!E6</f>
        <v>M49c</v>
      </c>
      <c r="C61" s="1375" t="str">
        <f>'MTP_lines-polygons'!F6</f>
        <v>University Ave Complete Street - Segment 3</v>
      </c>
      <c r="D61" s="1376" t="str">
        <f>'MTP_lines-polygons'!H6</f>
        <v>8th St</v>
      </c>
      <c r="E61" s="1376" t="str">
        <f>'MTP_lines-polygons'!I6</f>
        <v>Fayette St/Beechurst Ave</v>
      </c>
      <c r="F61" s="1124" t="s">
        <v>1612</v>
      </c>
      <c r="G61" s="1396">
        <f>'MTP_lines-polygons'!K6</f>
        <v>1.3366002821969698</v>
      </c>
      <c r="H61" s="1418">
        <f>ROUND('MTP_lines-polygons'!P6,-5)</f>
        <v>17400000</v>
      </c>
      <c r="I61" s="1419" t="s">
        <v>672</v>
      </c>
    </row>
    <row r="62" spans="2:9" ht="30.75" customHeight="1" x14ac:dyDescent="0.3">
      <c r="B62" s="1358" t="str">
        <f>'MTP_lines-polygons'!E7</f>
        <v>M50</v>
      </c>
      <c r="C62" s="1375" t="str">
        <f>'MTP_lines-polygons'!F7</f>
        <v>Fairmont Rd/Holland Ave Improvements</v>
      </c>
      <c r="D62" s="1376" t="str">
        <f>'MTP_lines-polygons'!H7</f>
        <v>I-79 Interchange</v>
      </c>
      <c r="E62" s="1376" t="str">
        <f>'MTP_lines-polygons'!I7</f>
        <v>Westover Bridge</v>
      </c>
      <c r="F62" s="1124" t="s">
        <v>1568</v>
      </c>
      <c r="G62" s="1396">
        <f>'MTP_lines-polygons'!K7</f>
        <v>1.7902595445076592</v>
      </c>
      <c r="H62" s="1418">
        <f>ROUND('MTP_lines-polygons'!P7,-5)</f>
        <v>12500000</v>
      </c>
      <c r="I62" s="1400" t="s">
        <v>1047</v>
      </c>
    </row>
    <row r="63" spans="2:9" ht="36" x14ac:dyDescent="0.3">
      <c r="B63" s="1358" t="str">
        <f>'MTP_lines-polygons'!E8</f>
        <v>M51a</v>
      </c>
      <c r="C63" s="1375" t="str">
        <f>'MTP_lines-polygons'!F8</f>
        <v>Greenbag Rd Improvements - Segment 1</v>
      </c>
      <c r="D63" s="1376" t="str">
        <f>'MTP_lines-polygons'!H8</f>
        <v>Don Knotts Blvd (US 119)</v>
      </c>
      <c r="E63" s="1376" t="str">
        <f>'MTP_lines-polygons'!I8</f>
        <v>Mississippi St</v>
      </c>
      <c r="F63" s="1124" t="s">
        <v>1613</v>
      </c>
      <c r="G63" s="1396">
        <f>'MTP_lines-polygons'!K8</f>
        <v>0.74798476553030302</v>
      </c>
      <c r="H63" s="1418">
        <f>ROUND('MTP_lines-polygons'!P8,-5)</f>
        <v>5300000</v>
      </c>
      <c r="I63" s="1400" t="s">
        <v>1047</v>
      </c>
    </row>
    <row r="64" spans="2:9" ht="36" x14ac:dyDescent="0.3">
      <c r="B64" s="1358" t="str">
        <f>'MTP_lines-polygons'!E9</f>
        <v>M51b</v>
      </c>
      <c r="C64" s="1375" t="str">
        <f>'MTP_lines-polygons'!F9</f>
        <v>Greenbag Rd Improvements - Segment 2</v>
      </c>
      <c r="D64" s="1376" t="str">
        <f>'MTP_lines-polygons'!H9</f>
        <v>Lucky Lane</v>
      </c>
      <c r="E64" s="1376" t="str">
        <f>'MTP_lines-polygons'!I9</f>
        <v>Deckers Creek Blvd</v>
      </c>
      <c r="F64" s="1124" t="s">
        <v>1613</v>
      </c>
      <c r="G64" s="1396">
        <f>'MTP_lines-polygons'!K9</f>
        <v>1.6482719261363636</v>
      </c>
      <c r="H64" s="1418">
        <f>ROUND('MTP_lines-polygons'!P9,-5)</f>
        <v>11800000</v>
      </c>
      <c r="I64" s="1400" t="s">
        <v>1047</v>
      </c>
    </row>
    <row r="65" spans="2:9" ht="28.8" x14ac:dyDescent="0.3">
      <c r="B65" s="1358" t="str">
        <f>'MTP_lines-polygons'!E10</f>
        <v>M52</v>
      </c>
      <c r="C65" s="1375" t="str">
        <f>'MTP_lines-polygons'!F10</f>
        <v>Earl Core Rd (WV 7) - Northern Section Improvements</v>
      </c>
      <c r="D65" s="1376" t="str">
        <f>'MTP_lines-polygons'!H10</f>
        <v>Deckers Creek Bvd</v>
      </c>
      <c r="E65" s="1376" t="str">
        <f>'MTP_lines-polygons'!I10</f>
        <v>I-68 Interchange</v>
      </c>
      <c r="F65" s="1124" t="s">
        <v>1619</v>
      </c>
      <c r="G65" s="1396">
        <f>'MTP_lines-polygons'!K10</f>
        <v>1.4480544234593939</v>
      </c>
      <c r="H65" s="1418">
        <f>ROUND('MTP_lines-polygons'!P10,-5)</f>
        <v>10300000</v>
      </c>
      <c r="I65" s="1400" t="s">
        <v>1047</v>
      </c>
    </row>
    <row r="66" spans="2:9" ht="28.8" x14ac:dyDescent="0.3">
      <c r="B66" s="1358" t="str">
        <f>'MTP_lines-polygons'!E11</f>
        <v>M52b</v>
      </c>
      <c r="C66" s="1375" t="str">
        <f>'MTP_lines-polygons'!F11</f>
        <v>Earl Core Rd (WV 7) Access Management</v>
      </c>
      <c r="D66" s="1376" t="str">
        <f>'MTP_lines-polygons'!H11</f>
        <v>I-68 Interchange (SB ramps)</v>
      </c>
      <c r="E66" s="1376" t="str">
        <f>'MTP_lines-polygons'!I11</f>
        <v>Greenbag Rd</v>
      </c>
      <c r="F66" s="1124" t="s">
        <v>1567</v>
      </c>
      <c r="G66" s="1396">
        <f>'MTP_lines-polygons'!K11</f>
        <v>0.81203164545454543</v>
      </c>
      <c r="H66" s="1418">
        <f>ROUND('MTP_lines-polygons'!P11,-5)</f>
        <v>16900000</v>
      </c>
      <c r="I66" s="1419" t="s">
        <v>672</v>
      </c>
    </row>
    <row r="67" spans="2:9" ht="27.6" x14ac:dyDescent="0.3">
      <c r="B67" s="1358" t="str">
        <f>'MTP_lines-polygons'!E12</f>
        <v>M55</v>
      </c>
      <c r="C67" s="1375" t="str">
        <f>'MTP_lines-polygons'!F12</f>
        <v>Lazzelle Union Rd (WV-100) Improvements</v>
      </c>
      <c r="D67" s="1376" t="str">
        <f>'MTP_lines-polygons'!H12</f>
        <v>US 19</v>
      </c>
      <c r="E67" s="1376" t="str">
        <f>'MTP_lines-polygons'!I12</f>
        <v>PA State Line</v>
      </c>
      <c r="F67" s="1124" t="s">
        <v>1566</v>
      </c>
      <c r="G67" s="1396">
        <f>'MTP_lines-polygons'!K12</f>
        <v>9.5153078530303041</v>
      </c>
      <c r="H67" s="1418">
        <f>ROUND('MTP_lines-polygons'!P12,-5)</f>
        <v>25100000</v>
      </c>
      <c r="I67" s="1400" t="s">
        <v>1047</v>
      </c>
    </row>
    <row r="68" spans="2:9" ht="16.5" customHeight="1" x14ac:dyDescent="0.3">
      <c r="B68" s="1358" t="str">
        <f>'MTP_lines-polygons'!E13</f>
        <v>M57</v>
      </c>
      <c r="C68" s="1375" t="str">
        <f>'MTP_lines-polygons'!F13</f>
        <v>I-79 Granville Section Improvements - widen to 6-lanes</v>
      </c>
      <c r="D68" s="1376" t="str">
        <f>'MTP_lines-polygons'!H13</f>
        <v>Exit 152</v>
      </c>
      <c r="E68" s="1376" t="str">
        <f>'MTP_lines-polygons'!I13</f>
        <v>Exit 155</v>
      </c>
      <c r="F68" s="1124" t="s">
        <v>1565</v>
      </c>
      <c r="G68" s="1396">
        <f>'MTP_lines-polygons'!K13</f>
        <v>2.2878296030726704</v>
      </c>
      <c r="H68" s="1418">
        <f>ROUND('MTP_lines-polygons'!P13,-5)</f>
        <v>17100000</v>
      </c>
      <c r="I68" s="1401" t="s">
        <v>1048</v>
      </c>
    </row>
    <row r="69" spans="2:9" ht="16.5" customHeight="1" x14ac:dyDescent="0.3">
      <c r="B69" s="1358" t="str">
        <f>'MTP_lines-polygons'!E14</f>
        <v>M58</v>
      </c>
      <c r="C69" s="1375" t="str">
        <f>'MTP_lines-polygons'!F14</f>
        <v>I-79 Westover Section Improvements - widen to 6-lanes</v>
      </c>
      <c r="D69" s="1376" t="str">
        <f>'MTP_lines-polygons'!H14</f>
        <v>Exit 148</v>
      </c>
      <c r="E69" s="1376" t="str">
        <f>'MTP_lines-polygons'!I14</f>
        <v>Exit 152</v>
      </c>
      <c r="F69" s="1124" t="s">
        <v>1564</v>
      </c>
      <c r="G69" s="1396">
        <f>'MTP_lines-polygons'!K14</f>
        <v>1.0512905916953408</v>
      </c>
      <c r="H69" s="1418">
        <f>ROUND('MTP_lines-polygons'!P14,-5)</f>
        <v>4600000</v>
      </c>
      <c r="I69" s="1401" t="s">
        <v>1048</v>
      </c>
    </row>
    <row r="70" spans="2:9" ht="27.6" x14ac:dyDescent="0.3">
      <c r="B70" s="1358" t="str">
        <f>'MTP_lines-polygons'!E15</f>
        <v>M59</v>
      </c>
      <c r="C70" s="1375" t="str">
        <f>'MTP_lines-polygons'!F15</f>
        <v>Dorsey Ave Sidewalk Improvements</v>
      </c>
      <c r="D70" s="1376" t="str">
        <f>'MTP_lines-polygons'!H15</f>
        <v>High St</v>
      </c>
      <c r="E70" s="1376" t="str">
        <f>'MTP_lines-polygons'!I15</f>
        <v>Greenbag Rd</v>
      </c>
      <c r="F70" s="1124" t="s">
        <v>1563</v>
      </c>
      <c r="G70" s="1396">
        <f>'MTP_lines-polygons'!K15</f>
        <v>1.8453751116667727</v>
      </c>
      <c r="H70" s="1418">
        <f>ROUND('MTP_lines-polygons'!P15,-5)</f>
        <v>4600000</v>
      </c>
      <c r="I70" s="1398" t="s">
        <v>1046</v>
      </c>
    </row>
    <row r="71" spans="2:9" ht="28.8" x14ac:dyDescent="0.3">
      <c r="B71" s="1358" t="str">
        <f>'MTP_lines-polygons'!E16</f>
        <v>M60</v>
      </c>
      <c r="C71" s="1375" t="str">
        <f>'MTP_lines-polygons'!F16</f>
        <v>Grafton Rd (US 119) Improvements</v>
      </c>
      <c r="D71" s="1376" t="str">
        <f>'MTP_lines-polygons'!H16</f>
        <v>Greenbag Rd</v>
      </c>
      <c r="E71" s="1376" t="str">
        <f>'MTP_lines-polygons'!I16</f>
        <v>4H Camp Rd / Walmart</v>
      </c>
      <c r="F71" s="1124" t="s">
        <v>1562</v>
      </c>
      <c r="G71" s="1396">
        <f>'MTP_lines-polygons'!K16</f>
        <v>1.5911881092823106</v>
      </c>
      <c r="H71" s="1418">
        <f>ROUND('MTP_lines-polygons'!P16,-5)</f>
        <v>5700000</v>
      </c>
      <c r="I71" s="1401" t="s">
        <v>1048</v>
      </c>
    </row>
    <row r="72" spans="2:9" ht="28.8" x14ac:dyDescent="0.3">
      <c r="B72" s="1358" t="str">
        <f>'MTP_lines-polygons'!E17</f>
        <v>M61</v>
      </c>
      <c r="C72" s="1375" t="str">
        <f>'MTP_lines-polygons'!F17</f>
        <v>Smithtown Rd Improvements</v>
      </c>
      <c r="D72" s="1376" t="str">
        <f>'MTP_lines-polygons'!H17</f>
        <v>Don Knotts Blvd (US 119)</v>
      </c>
      <c r="E72" s="1376" t="str">
        <f>'MTP_lines-polygons'!I17</f>
        <v>Goshen Rd</v>
      </c>
      <c r="F72" s="1124" t="s">
        <v>1561</v>
      </c>
      <c r="G72" s="1396">
        <f>'MTP_lines-polygons'!K17</f>
        <v>5.5872530596597727</v>
      </c>
      <c r="H72" s="1418">
        <f>ROUND('MTP_lines-polygons'!P17,-5)</f>
        <v>13700000</v>
      </c>
      <c r="I72" s="1400" t="s">
        <v>1047</v>
      </c>
    </row>
    <row r="73" spans="2:9" ht="28.8" x14ac:dyDescent="0.3">
      <c r="B73" s="1358" t="str">
        <f>'MTP_lines-polygons'!E18</f>
        <v>M62</v>
      </c>
      <c r="C73" s="1375" t="str">
        <f>'MTP_lines-polygons'!F18</f>
        <v>Earl Core Road (WV 7) at Southern Section Improvements</v>
      </c>
      <c r="D73" s="1376" t="str">
        <f>'MTP_lines-polygons'!H18</f>
        <v>I-68 interchange</v>
      </c>
      <c r="E73" s="1376" t="str">
        <f>'MTP_lines-polygons'!I18</f>
        <v>Tyrone Rd</v>
      </c>
      <c r="F73" s="1124" t="s">
        <v>1560</v>
      </c>
      <c r="G73" s="1396">
        <f>'MTP_lines-polygons'!K18</f>
        <v>2.3431739657337878</v>
      </c>
      <c r="H73" s="1418">
        <f>ROUND('MTP_lines-polygons'!P18,-5)</f>
        <v>10300000</v>
      </c>
      <c r="I73" s="1401" t="s">
        <v>1048</v>
      </c>
    </row>
    <row r="74" spans="2:9" ht="28.8" x14ac:dyDescent="0.3">
      <c r="B74" s="1358" t="str">
        <f>'MTP_lines-polygons'!E19</f>
        <v>M63</v>
      </c>
      <c r="C74" s="1375" t="str">
        <f>'MTP_lines-polygons'!F19</f>
        <v>Brockway Ave / Rodgers Ave / Powell Ave (WV 7) Improvements</v>
      </c>
      <c r="D74" s="1376" t="str">
        <f>'MTP_lines-polygons'!H19</f>
        <v>Walnut St</v>
      </c>
      <c r="E74" s="1376" t="str">
        <f>'MTP_lines-polygons'!I19</f>
        <v>Deckers Creek Rd</v>
      </c>
      <c r="F74" s="1124" t="s">
        <v>1559</v>
      </c>
      <c r="G74" s="1396">
        <f>'MTP_lines-polygons'!K19</f>
        <v>1.2406098498388862</v>
      </c>
      <c r="H74" s="1418">
        <f>ROUND('MTP_lines-polygons'!P19,-5)</f>
        <v>6800000</v>
      </c>
      <c r="I74" s="1400" t="s">
        <v>1047</v>
      </c>
    </row>
    <row r="75" spans="2:9" ht="27.6" x14ac:dyDescent="0.3">
      <c r="B75" s="1358" t="str">
        <f>'MTP_lines-polygons'!E20</f>
        <v>M64</v>
      </c>
      <c r="C75" s="1375" t="str">
        <f>'MTP_lines-polygons'!F20</f>
        <v>Willey St/Mileground Rd Improvements</v>
      </c>
      <c r="D75" s="1376" t="str">
        <f>'MTP_lines-polygons'!H20</f>
        <v>High St</v>
      </c>
      <c r="E75" s="1376" t="str">
        <f>'MTP_lines-polygons'!I20</f>
        <v>WV 705</v>
      </c>
      <c r="F75" s="1124" t="s">
        <v>1558</v>
      </c>
      <c r="G75" s="1396">
        <f>'MTP_lines-polygons'!K20</f>
        <v>1.6746651916226118</v>
      </c>
      <c r="H75" s="1418">
        <f>ROUND('MTP_lines-polygons'!P20,-5)</f>
        <v>14800000</v>
      </c>
      <c r="I75" s="1400" t="s">
        <v>1047</v>
      </c>
    </row>
    <row r="76" spans="2:9" ht="27.6" x14ac:dyDescent="0.3">
      <c r="B76" s="1358" t="str">
        <f>'MTP_lines-polygons'!E21</f>
        <v>M65</v>
      </c>
      <c r="C76" s="1375" t="str">
        <f>'MTP_lines-polygons'!F21</f>
        <v>Stewart St Improvements</v>
      </c>
      <c r="D76" s="1376" t="str">
        <f>'MTP_lines-polygons'!H21</f>
        <v>University Ave</v>
      </c>
      <c r="E76" s="1376" t="str">
        <f>'MTP_lines-polygons'!I21</f>
        <v>WV 705</v>
      </c>
      <c r="F76" s="1124" t="s">
        <v>1557</v>
      </c>
      <c r="G76" s="1396">
        <f>'MTP_lines-polygons'!K21</f>
        <v>1.5265818626134149</v>
      </c>
      <c r="H76" s="1418">
        <f>ROUND('MTP_lines-polygons'!P21,-5)</f>
        <v>12500000</v>
      </c>
      <c r="I76" s="1400" t="s">
        <v>1047</v>
      </c>
    </row>
    <row r="77" spans="2:9" ht="24.75" customHeight="1" x14ac:dyDescent="0.3">
      <c r="B77" s="1358" t="str">
        <f>'MTP_lines-polygons'!E22</f>
        <v>M67</v>
      </c>
      <c r="C77" s="1375" t="str">
        <f>'MTP_lines-polygons'!F22</f>
        <v>Burroughs St Improvements</v>
      </c>
      <c r="D77" s="1376" t="str">
        <f>'MTP_lines-polygons'!H22</f>
        <v>Collins Ferry Rd</v>
      </c>
      <c r="E77" s="1376" t="str">
        <f>'MTP_lines-polygons'!I22</f>
        <v>Van Voorhis Rd WV 705</v>
      </c>
      <c r="F77" s="1124" t="s">
        <v>1556</v>
      </c>
      <c r="G77" s="1396">
        <f>'MTP_lines-polygons'!K22</f>
        <v>0.44769845343678977</v>
      </c>
      <c r="H77" s="1418">
        <f>ROUND('MTP_lines-polygons'!P22,-5)</f>
        <v>4600000</v>
      </c>
      <c r="I77" s="1400" t="s">
        <v>1047</v>
      </c>
    </row>
    <row r="78" spans="2:9" ht="27.6" x14ac:dyDescent="0.3">
      <c r="B78" s="1358" t="str">
        <f>'MTP_lines-polygons'!E23</f>
        <v>M68</v>
      </c>
      <c r="C78" s="1375" t="str">
        <f>'MTP_lines-polygons'!F23</f>
        <v>Riddle Ave/Pineview Dr Improvements</v>
      </c>
      <c r="D78" s="1376" t="str">
        <f>'MTP_lines-polygons'!H23</f>
        <v>WV 705</v>
      </c>
      <c r="E78" s="1376" t="str">
        <f>'MTP_lines-polygons'!I23</f>
        <v>West Run Rd</v>
      </c>
      <c r="F78" s="1124" t="s">
        <v>1555</v>
      </c>
      <c r="G78" s="1396">
        <f>'MTP_lines-polygons'!K23</f>
        <v>0.79629176393840906</v>
      </c>
      <c r="H78" s="1418">
        <f>ROUND('MTP_lines-polygons'!P23,-5)</f>
        <v>3000000</v>
      </c>
      <c r="I78" s="1400" t="s">
        <v>1047</v>
      </c>
    </row>
    <row r="79" spans="2:9" ht="15" customHeight="1" x14ac:dyDescent="0.3">
      <c r="B79" s="1358" t="str">
        <f>'MTP_lines-polygons'!E24</f>
        <v>M69</v>
      </c>
      <c r="C79" s="1375" t="str">
        <f>'MTP_lines-polygons'!F24</f>
        <v>Cheat Rd Improvements</v>
      </c>
      <c r="D79" s="1376" t="str">
        <f>'MTP_lines-polygons'!H24</f>
        <v>West Run Rd</v>
      </c>
      <c r="E79" s="1376" t="str">
        <f>'MTP_lines-polygons'!I24</f>
        <v>S Pierpont Rd</v>
      </c>
      <c r="F79" s="1124" t="s">
        <v>1553</v>
      </c>
      <c r="G79" s="1396">
        <f>'MTP_lines-polygons'!K24</f>
        <v>1.793560606060606</v>
      </c>
      <c r="H79" s="1418">
        <f>ROUND('MTP_lines-polygons'!P24,-5)</f>
        <v>6800000</v>
      </c>
      <c r="I79" s="1401" t="s">
        <v>1048</v>
      </c>
    </row>
    <row r="80" spans="2:9" ht="15" customHeight="1" x14ac:dyDescent="0.3">
      <c r="B80" s="1358" t="str">
        <f>'MTP_lines-polygons'!E25</f>
        <v>M69b</v>
      </c>
      <c r="C80" s="1375" t="str">
        <f>'MTP_lines-polygons'!F25</f>
        <v>Cheat Rd Widening - Segment 2</v>
      </c>
      <c r="D80" s="1376" t="str">
        <f>'MTP_lines-polygons'!H25</f>
        <v>S Pierpont Rd</v>
      </c>
      <c r="E80" s="1376" t="str">
        <f>'MTP_lines-polygons'!I25</f>
        <v>Stone Creek</v>
      </c>
      <c r="F80" s="1124" t="s">
        <v>1554</v>
      </c>
      <c r="G80" s="1396">
        <f>'MTP_lines-polygons'!K25</f>
        <v>1.3917814098484849</v>
      </c>
      <c r="H80" s="1418">
        <f>ROUND('MTP_lines-polygons'!P25,-5)</f>
        <v>13700000</v>
      </c>
      <c r="I80" s="1401" t="s">
        <v>1048</v>
      </c>
    </row>
    <row r="81" spans="2:9" ht="27.75" customHeight="1" x14ac:dyDescent="0.3">
      <c r="B81" s="1358" t="str">
        <f>'MTP_lines-polygons'!E26</f>
        <v>M70</v>
      </c>
      <c r="C81" s="1375" t="str">
        <f>'MTP_lines-polygons'!F26</f>
        <v>Old Cheat Rd/Cheat Rd Bike Lanes</v>
      </c>
      <c r="D81" s="1376" t="str">
        <f>'MTP_lines-polygons'!H26</f>
        <v>Cheat Lake Bridge</v>
      </c>
      <c r="E81" s="1376" t="str">
        <f>'MTP_lines-polygons'!I26</f>
        <v>Cheat Rd/Old Cheat Rd</v>
      </c>
      <c r="F81" s="1124" t="s">
        <v>1552</v>
      </c>
      <c r="G81" s="1396">
        <f>'MTP_lines-polygons'!K26</f>
        <v>1.2851163744993996</v>
      </c>
      <c r="H81" s="1418">
        <f>ROUND('MTP_lines-polygons'!P26,-5)</f>
        <v>8000000</v>
      </c>
      <c r="I81" s="1398" t="s">
        <v>1046</v>
      </c>
    </row>
    <row r="82" spans="2:9" ht="33" customHeight="1" thickBot="1" x14ac:dyDescent="0.35">
      <c r="B82" s="1358" t="str">
        <f>'MTP_lines-polygons'!E27</f>
        <v>M71</v>
      </c>
      <c r="C82" s="1375" t="str">
        <f>'MTP_lines-polygons'!F27</f>
        <v>White Park/Caperton Multimodal Trail Connection - Bridge</v>
      </c>
      <c r="D82" s="1376" t="str">
        <f>'MTP_lines-polygons'!H27</f>
        <v>White Park</v>
      </c>
      <c r="E82" s="1376" t="str">
        <f>'MTP_lines-polygons'!I27</f>
        <v>Capterton Trail</v>
      </c>
      <c r="F82" s="1124" t="s">
        <v>1551</v>
      </c>
      <c r="G82" s="1396">
        <f>'MTP_lines-polygons'!K27</f>
        <v>0.54272629791666671</v>
      </c>
      <c r="H82" s="1418">
        <f>ROUND('MTP_lines-polygons'!P27,-5)</f>
        <v>2200000</v>
      </c>
      <c r="I82" s="1398" t="s">
        <v>1046</v>
      </c>
    </row>
    <row r="83" spans="2:9" s="1132" customFormat="1" ht="15.6" x14ac:dyDescent="0.3">
      <c r="B83" s="1353" t="s">
        <v>1762</v>
      </c>
      <c r="C83" s="1370"/>
      <c r="D83" s="1371"/>
      <c r="E83" s="1371"/>
      <c r="F83" s="1135"/>
      <c r="G83" s="1354"/>
      <c r="H83" s="1389"/>
      <c r="I83" s="1390"/>
    </row>
    <row r="84" spans="2:9" s="1122" customFormat="1" x14ac:dyDescent="0.3">
      <c r="B84" s="1355" t="s">
        <v>1014</v>
      </c>
      <c r="C84" s="1372" t="s">
        <v>2</v>
      </c>
      <c r="D84" s="1372" t="s">
        <v>1498</v>
      </c>
      <c r="E84" s="1372" t="s">
        <v>1477</v>
      </c>
      <c r="F84" s="1121" t="s">
        <v>605</v>
      </c>
      <c r="G84" s="1356" t="s">
        <v>12</v>
      </c>
      <c r="H84" s="1391" t="s">
        <v>1026</v>
      </c>
      <c r="I84" s="1392" t="s">
        <v>15</v>
      </c>
    </row>
    <row r="85" spans="2:9" ht="27.6" x14ac:dyDescent="0.3">
      <c r="B85" s="1358" t="str">
        <f>'MTP_lines-polygons'!E28</f>
        <v>M72</v>
      </c>
      <c r="C85" s="1375" t="str">
        <f>'MTP_lines-polygons'!F28</f>
        <v>North Side Connector Bus Rapid Transit</v>
      </c>
      <c r="D85" s="1376" t="str">
        <f>'MTP_lines-polygons'!H28</f>
        <v>Evansdale Campus</v>
      </c>
      <c r="E85" s="1376" t="str">
        <f>'MTP_lines-polygons'!I28</f>
        <v>Downtown Campus</v>
      </c>
      <c r="F85" s="1124" t="s">
        <v>1550</v>
      </c>
      <c r="G85" s="1396">
        <f>'MTP_lines-polygons'!K28</f>
        <v>2.148706167117159</v>
      </c>
      <c r="H85" s="1418">
        <f>ROUND('MTP_lines-polygons'!P28,-5)</f>
        <v>1100000</v>
      </c>
      <c r="I85" s="1398" t="s">
        <v>1046</v>
      </c>
    </row>
    <row r="86" spans="2:9" ht="29.25" customHeight="1" x14ac:dyDescent="0.3">
      <c r="B86" s="1358" t="str">
        <f>'MTP_lines-polygons'!E29</f>
        <v>M73b</v>
      </c>
      <c r="C86" s="1375" t="str">
        <f>'MTP_lines-polygons'!F29</f>
        <v>WV-705 Corridor Improvements</v>
      </c>
      <c r="D86" s="1376" t="str">
        <f>'MTP_lines-polygons'!H29</f>
        <v>Monongahela Blvd</v>
      </c>
      <c r="E86" s="1376" t="str">
        <f>'MTP_lines-polygons'!I29</f>
        <v>Mon General Dr / Don Nehlen Dr</v>
      </c>
      <c r="F86" s="1124" t="s">
        <v>1549</v>
      </c>
      <c r="G86" s="1396">
        <f>'MTP_lines-polygons'!K29</f>
        <v>1.8201708227272726</v>
      </c>
      <c r="H86" s="1418">
        <f>ROUND('MTP_lines-polygons'!P29,-5)</f>
        <v>14500000</v>
      </c>
      <c r="I86" s="1419" t="s">
        <v>672</v>
      </c>
    </row>
    <row r="87" spans="2:9" ht="28.8" x14ac:dyDescent="0.3">
      <c r="B87" s="1358" t="str">
        <f>'MTP_lines-polygons'!E30</f>
        <v>M74</v>
      </c>
      <c r="C87" s="1375" t="str">
        <f>'MTP_lines-polygons'!F30</f>
        <v>River Road Improvements</v>
      </c>
      <c r="D87" s="1376" t="str">
        <f>'MTP_lines-polygons'!H30</f>
        <v>Master Graphics Road</v>
      </c>
      <c r="E87" s="1376" t="str">
        <f>'MTP_lines-polygons'!I30</f>
        <v>DuPont Rd / Industrial Park Rd</v>
      </c>
      <c r="F87" s="1124" t="s">
        <v>1548</v>
      </c>
      <c r="G87" s="1396">
        <f>'MTP_lines-polygons'!K30</f>
        <v>1.314486159280303</v>
      </c>
      <c r="H87" s="1418">
        <f>ROUND('MTP_lines-polygons'!P30,-5)</f>
        <v>2100000</v>
      </c>
      <c r="I87" s="1400" t="s">
        <v>1047</v>
      </c>
    </row>
    <row r="88" spans="2:9" ht="27.6" x14ac:dyDescent="0.3">
      <c r="B88" s="1358" t="str">
        <f>'MTP_lines-polygons'!E31</f>
        <v>M101</v>
      </c>
      <c r="C88" s="1375" t="str">
        <f>'MTP_lines-polygons'!F31</f>
        <v>Blue Horizon Dr Widening</v>
      </c>
      <c r="D88" s="1376" t="str">
        <f>'MTP_lines-polygons'!H31</f>
        <v>Scotts Run Rd</v>
      </c>
      <c r="E88" s="1376" t="str">
        <f>'MTP_lines-polygons'!I31</f>
        <v>Chaplin Rd (US 19)</v>
      </c>
      <c r="F88" s="1124" t="s">
        <v>1547</v>
      </c>
      <c r="G88" s="1396">
        <f>'MTP_lines-polygons'!K31</f>
        <v>0.56117424242424241</v>
      </c>
      <c r="H88" s="1418">
        <f>ROUND('MTP_lines-polygons'!P31,-5)</f>
        <v>12300000</v>
      </c>
      <c r="I88" s="1401" t="s">
        <v>1048</v>
      </c>
    </row>
    <row r="89" spans="2:9" ht="28.8" x14ac:dyDescent="0.3">
      <c r="B89" s="1358" t="str">
        <f>'MTP_lines-polygons'!E32</f>
        <v>M102</v>
      </c>
      <c r="C89" s="1375" t="str">
        <f>'MTP_lines-polygons'!F32</f>
        <v>Fairmont Rd US 19 Improvements</v>
      </c>
      <c r="D89" s="1376" t="str">
        <f>'MTP_lines-polygons'!H32</f>
        <v>Sugar Grove Road</v>
      </c>
      <c r="E89" s="1376" t="str">
        <f>'MTP_lines-polygons'!I32</f>
        <v>I-79 Interchange Exit 152</v>
      </c>
      <c r="F89" s="1124" t="s">
        <v>1546</v>
      </c>
      <c r="G89" s="1396">
        <f>'MTP_lines-polygons'!K32</f>
        <v>2.7926157623106063</v>
      </c>
      <c r="H89" s="1418">
        <f>ROUND('MTP_lines-polygons'!P32,-5)</f>
        <v>21600000</v>
      </c>
      <c r="I89" s="1400" t="s">
        <v>1047</v>
      </c>
    </row>
    <row r="90" spans="2:9" ht="27.6" x14ac:dyDescent="0.3">
      <c r="B90" s="1358" t="str">
        <f>'MTP_lines-polygons'!E33</f>
        <v>M103</v>
      </c>
      <c r="C90" s="1375" t="str">
        <f>'MTP_lines-polygons'!F33</f>
        <v>Tyrone Rd &amp; Cheat Rd Improvements</v>
      </c>
      <c r="D90" s="1376" t="str">
        <f>'MTP_lines-polygons'!H33</f>
        <v>Earl Core Rd (WV 7)</v>
      </c>
      <c r="E90" s="1376" t="str">
        <f>'MTP_lines-polygons'!I33</f>
        <v>Mont Chateau Rd</v>
      </c>
      <c r="F90" s="1124" t="s">
        <v>1614</v>
      </c>
      <c r="G90" s="1396">
        <f>'MTP_lines-polygons'!K33</f>
        <v>5.222323996780303</v>
      </c>
      <c r="H90" s="1418">
        <f>ROUND('MTP_lines-polygons'!P33,-5)</f>
        <v>22100000</v>
      </c>
      <c r="I90" s="1400" t="s">
        <v>1047</v>
      </c>
    </row>
    <row r="91" spans="2:9" ht="27.6" x14ac:dyDescent="0.3">
      <c r="B91" s="1358" t="str">
        <f>'MTP_lines-polygons'!E34</f>
        <v>M104</v>
      </c>
      <c r="C91" s="1375" t="str">
        <f>'MTP_lines-polygons'!F34</f>
        <v>St Clair Hill Rd Improvements</v>
      </c>
      <c r="D91" s="1376" t="str">
        <f>'MTP_lines-polygons'!H34</f>
        <v>West Run Rd</v>
      </c>
      <c r="E91" s="1376" t="str">
        <f>'MTP_lines-polygons'!I34</f>
        <v>Bakers Ridge Rd</v>
      </c>
      <c r="F91" s="1124" t="s">
        <v>1543</v>
      </c>
      <c r="G91" s="1396">
        <f>'MTP_lines-polygons'!K34</f>
        <v>0.28333333333333333</v>
      </c>
      <c r="H91" s="1418">
        <f>ROUND('MTP_lines-polygons'!P34,-5)</f>
        <v>2800000</v>
      </c>
      <c r="I91" s="1400" t="s">
        <v>1047</v>
      </c>
    </row>
    <row r="92" spans="2:9" ht="27.6" x14ac:dyDescent="0.3">
      <c r="B92" s="1358" t="str">
        <f>'MTP_lines-polygons'!E35</f>
        <v>M105</v>
      </c>
      <c r="C92" s="1375" t="str">
        <f>'MTP_lines-polygons'!F35</f>
        <v>Mileground Rd Widening</v>
      </c>
      <c r="D92" s="1376" t="str">
        <f>'MTP_lines-polygons'!H35</f>
        <v>Hampton Ave</v>
      </c>
      <c r="E92" s="1376" t="str">
        <f>'MTP_lines-polygons'!I35</f>
        <v>WV705</v>
      </c>
      <c r="F92" s="1124" t="s">
        <v>1545</v>
      </c>
      <c r="G92" s="1396">
        <f>'MTP_lines-polygons'!K35</f>
        <v>0.41477272727272729</v>
      </c>
      <c r="H92" s="1418">
        <f>ROUND('MTP_lines-polygons'!P35,-5)</f>
        <v>3400000</v>
      </c>
      <c r="I92" s="1401" t="s">
        <v>1048</v>
      </c>
    </row>
    <row r="93" spans="2:9" ht="27.6" x14ac:dyDescent="0.3">
      <c r="B93" s="1358" t="str">
        <f>'MTP_lines-polygons'!E36</f>
        <v>M106</v>
      </c>
      <c r="C93" s="1375" t="str">
        <f>'MTP_lines-polygons'!F36</f>
        <v>Dupont Road Improvements</v>
      </c>
      <c r="D93" s="1376" t="str">
        <f>'MTP_lines-polygons'!H36</f>
        <v>River Road</v>
      </c>
      <c r="E93" s="1376" t="str">
        <f>'MTP_lines-polygons'!I36</f>
        <v>Fairmont Rd (US 19)</v>
      </c>
      <c r="F93" s="1124" t="s">
        <v>1544</v>
      </c>
      <c r="G93" s="1396">
        <f>'MTP_lines-polygons'!K36</f>
        <v>1.2437148742424242</v>
      </c>
      <c r="H93" s="1418">
        <f>ROUND('MTP_lines-polygons'!P36,-5)</f>
        <v>8300000</v>
      </c>
      <c r="I93" s="1400" t="s">
        <v>1047</v>
      </c>
    </row>
    <row r="94" spans="2:9" ht="27.6" x14ac:dyDescent="0.3">
      <c r="B94" s="1358" t="str">
        <f>'MTP_lines-polygons'!E37</f>
        <v>M107</v>
      </c>
      <c r="C94" s="1375" t="str">
        <f>'MTP_lines-polygons'!F37</f>
        <v>Dug Hill Road Improvements</v>
      </c>
      <c r="D94" s="1376" t="str">
        <f>'MTP_lines-polygons'!H37</f>
        <v>Sabraton Ave</v>
      </c>
      <c r="E94" s="1376" t="str">
        <f>'MTP_lines-polygons'!I37</f>
        <v>Snider Hill Rd</v>
      </c>
      <c r="F94" s="1124" t="s">
        <v>1543</v>
      </c>
      <c r="G94" s="1396">
        <f>'MTP_lines-polygons'!K37</f>
        <v>1.3217941685606061</v>
      </c>
      <c r="H94" s="1418">
        <f>ROUND('MTP_lines-polygons'!P37,-5)</f>
        <v>10600000</v>
      </c>
      <c r="I94" s="1400" t="s">
        <v>1047</v>
      </c>
    </row>
    <row r="95" spans="2:9" ht="27.6" x14ac:dyDescent="0.3">
      <c r="B95" s="1358" t="str">
        <f>'MTP_lines-polygons'!E38</f>
        <v>M108</v>
      </c>
      <c r="C95" s="1375" t="str">
        <f>'MTP_lines-polygons'!F38</f>
        <v>Dents Run Blvd Improvements</v>
      </c>
      <c r="D95" s="1376" t="str">
        <f>'MTP_lines-polygons'!H38</f>
        <v>Fairmont Rd (US 19)</v>
      </c>
      <c r="E95" s="1376" t="str">
        <f>'MTP_lines-polygons'!I38</f>
        <v>Dunkard Ave (WV 100)</v>
      </c>
      <c r="F95" s="1124" t="s">
        <v>1543</v>
      </c>
      <c r="G95" s="1396">
        <f>'MTP_lines-polygons'!K38</f>
        <v>1.3727699893939393</v>
      </c>
      <c r="H95" s="1418">
        <f>ROUND('MTP_lines-polygons'!P38,-5)</f>
        <v>10600000</v>
      </c>
      <c r="I95" s="1400" t="s">
        <v>1047</v>
      </c>
    </row>
    <row r="96" spans="2:9" ht="27.75" customHeight="1" x14ac:dyDescent="0.3">
      <c r="B96" s="1358" t="str">
        <f>'MTP_lines-polygons'!E39</f>
        <v>M109</v>
      </c>
      <c r="C96" s="1375" t="str">
        <f>'MTP_lines-polygons'!F39</f>
        <v>Willowdale Rd Widening</v>
      </c>
      <c r="D96" s="1376" t="str">
        <f>'MTP_lines-polygons'!H39</f>
        <v>Ira Errett Rodgers Dr</v>
      </c>
      <c r="E96" s="1376" t="str">
        <f>'MTP_lines-polygons'!I39</f>
        <v>Medical Center Dr / Northwestern Ave</v>
      </c>
      <c r="F96" s="1124" t="s">
        <v>1542</v>
      </c>
      <c r="G96" s="1396">
        <f>'MTP_lines-polygons'!K39</f>
        <v>0.36854495890151517</v>
      </c>
      <c r="H96" s="1418">
        <f>ROUND('MTP_lines-polygons'!P39,-5)</f>
        <v>4500000</v>
      </c>
      <c r="I96" s="1401" t="s">
        <v>1048</v>
      </c>
    </row>
    <row r="97" spans="2:9" ht="27.75" customHeight="1" x14ac:dyDescent="0.3">
      <c r="B97" s="1358" t="str">
        <f>'MTP_lines-polygons'!E40</f>
        <v>M110</v>
      </c>
      <c r="C97" s="1375" t="str">
        <f>'MTP_lines-polygons'!F40</f>
        <v>Beechurst Avenue Access Management Improvements</v>
      </c>
      <c r="D97" s="1376" t="str">
        <f>'MTP_lines-polygons'!H40</f>
        <v>8th St</v>
      </c>
      <c r="E97" s="1376" t="str">
        <f>'MTP_lines-polygons'!I40</f>
        <v>University Ave</v>
      </c>
      <c r="F97" s="1124" t="s">
        <v>1541</v>
      </c>
      <c r="G97" s="1396">
        <f>'MTP_lines-polygons'!K40</f>
        <v>0.86219897613636365</v>
      </c>
      <c r="H97" s="1418">
        <f>ROUND('MTP_lines-polygons'!P40,-5)</f>
        <v>5100000</v>
      </c>
      <c r="I97" s="1419" t="s">
        <v>672</v>
      </c>
    </row>
    <row r="98" spans="2:9" ht="33" customHeight="1" x14ac:dyDescent="0.3">
      <c r="B98" s="1358" t="str">
        <f>'MTP_lines-polygons'!E41</f>
        <v>M114</v>
      </c>
      <c r="C98" s="1375" t="str">
        <f>'MTP_lines-polygons'!F41</f>
        <v>Don Knotts Blvd (US 19) Improvements</v>
      </c>
      <c r="D98" s="1376" t="str">
        <f>'MTP_lines-polygons'!H41</f>
        <v>Smithtown Rd (WV73)</v>
      </c>
      <c r="E98" s="1376" t="str">
        <f>'MTP_lines-polygons'!I41</f>
        <v>Foundry St</v>
      </c>
      <c r="F98" s="1124" t="s">
        <v>1540</v>
      </c>
      <c r="G98" s="1396">
        <f>'MTP_lines-polygons'!K41</f>
        <v>1.794985131534091</v>
      </c>
      <c r="H98" s="1418">
        <f>ROUND('MTP_lines-polygons'!P41,-5)</f>
        <v>6100000</v>
      </c>
      <c r="I98" s="1419" t="s">
        <v>672</v>
      </c>
    </row>
    <row r="99" spans="2:9" ht="27" customHeight="1" x14ac:dyDescent="0.3">
      <c r="B99" s="1358" t="str">
        <f>'MTP_lines-polygons'!E42</f>
        <v>M115</v>
      </c>
      <c r="C99" s="1375" t="str">
        <f>'MTP_lines-polygons'!F42</f>
        <v>Ackerman / Mountain Valley Drive Improvements</v>
      </c>
      <c r="D99" s="1376" t="str">
        <f>'MTP_lines-polygons'!H42</f>
        <v>Van Voorhis Rd</v>
      </c>
      <c r="E99" s="1376" t="str">
        <f>'MTP_lines-polygons'!I42</f>
        <v>Scenic View Dr</v>
      </c>
      <c r="F99" s="1124" t="s">
        <v>1539</v>
      </c>
      <c r="G99" s="1396">
        <f>'MTP_lines-polygons'!K42</f>
        <v>0.5449557808712121</v>
      </c>
      <c r="H99" s="1418">
        <f>ROUND('MTP_lines-polygons'!P42,-5)</f>
        <v>4900000</v>
      </c>
      <c r="I99" s="1400" t="s">
        <v>1047</v>
      </c>
    </row>
    <row r="100" spans="2:9" ht="27.6" x14ac:dyDescent="0.3">
      <c r="B100" s="1358" t="str">
        <f>'MTP_lines-polygons'!E43</f>
        <v>M116</v>
      </c>
      <c r="C100" s="1375" t="str">
        <f>'MTP_lines-polygons'!F43</f>
        <v>Trail Connection-Woodland Trail to Dorsey's Knob</v>
      </c>
      <c r="D100" s="1376" t="str">
        <f>'MTP_lines-polygons'!H43</f>
        <v>Woodland Trail</v>
      </c>
      <c r="E100" s="1376" t="str">
        <f>'MTP_lines-polygons'!I43</f>
        <v>Dorsey's Knob Park</v>
      </c>
      <c r="F100" s="1124" t="s">
        <v>1538</v>
      </c>
      <c r="G100" s="1396">
        <f>'MTP_lines-polygons'!K43</f>
        <v>0.64559560549242423</v>
      </c>
      <c r="H100" s="1418">
        <f>ROUND('MTP_lines-polygons'!P43,-5)</f>
        <v>1000000</v>
      </c>
      <c r="I100" s="1398" t="s">
        <v>1046</v>
      </c>
    </row>
    <row r="101" spans="2:9" ht="27.6" x14ac:dyDescent="0.3">
      <c r="B101" s="1358" t="str">
        <f>'MTP_lines-polygons'!E44</f>
        <v>M117</v>
      </c>
      <c r="C101" s="1375" t="str">
        <f>'MTP_lines-polygons'!F44</f>
        <v>Trail Connection-Southern Greenbelt Trail</v>
      </c>
      <c r="D101" s="1376" t="str">
        <f>'MTP_lines-polygons'!H44</f>
        <v>Learning Trail Loop</v>
      </c>
      <c r="E101" s="1376" t="str">
        <f>'MTP_lines-polygons'!I44</f>
        <v>Deckers Creek Trail</v>
      </c>
      <c r="F101" s="1124" t="s">
        <v>1537</v>
      </c>
      <c r="G101" s="1396">
        <f>'MTP_lines-polygons'!K44</f>
        <v>1.9102269096590909</v>
      </c>
      <c r="H101" s="1418">
        <f>ROUND('MTP_lines-polygons'!P44,-5)</f>
        <v>3000000</v>
      </c>
      <c r="I101" s="1398" t="s">
        <v>1046</v>
      </c>
    </row>
    <row r="102" spans="2:9" ht="27.6" x14ac:dyDescent="0.3">
      <c r="B102" s="1358" t="str">
        <f>'MTP_lines-polygons'!E45</f>
        <v>M118</v>
      </c>
      <c r="C102" s="1375" t="str">
        <f>'MTP_lines-polygons'!F45</f>
        <v>Trail Connection-Northern Greenbelt Trail</v>
      </c>
      <c r="D102" s="1376" t="str">
        <f>'MTP_lines-polygons'!H45</f>
        <v>Falling Run Trail</v>
      </c>
      <c r="E102" s="1376" t="str">
        <f>'MTP_lines-polygons'!I45</f>
        <v>Caperton Trail</v>
      </c>
      <c r="F102" s="1124" t="s">
        <v>1536</v>
      </c>
      <c r="G102" s="1396">
        <f>'MTP_lines-polygons'!K45</f>
        <v>4.8047228789772731</v>
      </c>
      <c r="H102" s="1418">
        <f>ROUND('MTP_lines-polygons'!P45,-5)</f>
        <v>7500000</v>
      </c>
      <c r="I102" s="1398" t="s">
        <v>1046</v>
      </c>
    </row>
    <row r="103" spans="2:9" ht="27.75" customHeight="1" x14ac:dyDescent="0.3">
      <c r="B103" s="1358" t="str">
        <f>'MTP_lines-polygons'!E46</f>
        <v>M119</v>
      </c>
      <c r="C103" s="1375" t="str">
        <f>'MTP_lines-polygons'!F46</f>
        <v>Trail Connection-Cheat Lake Northern</v>
      </c>
      <c r="D103" s="1376" t="str">
        <f>'MTP_lines-polygons'!H46</f>
        <v>Cheat Lake Tail - Morgan Run</v>
      </c>
      <c r="E103" s="1376" t="str">
        <f>'MTP_lines-polygons'!I46</f>
        <v>Darnell Hollow Road</v>
      </c>
      <c r="F103" s="1124" t="s">
        <v>1615</v>
      </c>
      <c r="G103" s="1396">
        <f>'MTP_lines-polygons'!K46</f>
        <v>1.856060606060606</v>
      </c>
      <c r="H103" s="1418">
        <f>ROUND('MTP_lines-polygons'!P46,-5)</f>
        <v>7700000</v>
      </c>
      <c r="I103" s="1398" t="s">
        <v>1046</v>
      </c>
    </row>
    <row r="104" spans="2:9" ht="28.5" customHeight="1" x14ac:dyDescent="0.3">
      <c r="B104" s="1358" t="str">
        <f>'MTP_lines-polygons'!E47</f>
        <v>M120</v>
      </c>
      <c r="C104" s="1375" t="str">
        <f>'MTP_lines-polygons'!F47</f>
        <v>Trail Connection-Cheat Lake Southern</v>
      </c>
      <c r="D104" s="1376" t="str">
        <f>'MTP_lines-polygons'!H47</f>
        <v>Cheat Lake Rail-Tail</v>
      </c>
      <c r="E104" s="1376" t="str">
        <f>'MTP_lines-polygons'!I47</f>
        <v>Coopers Rock Park - Mont Chateau Trail</v>
      </c>
      <c r="F104" s="1124" t="s">
        <v>1535</v>
      </c>
      <c r="G104" s="1396">
        <f>'MTP_lines-polygons'!K47</f>
        <v>4.166666666666667</v>
      </c>
      <c r="H104" s="1418">
        <f>ROUND('MTP_lines-polygons'!P47,-5)</f>
        <v>13200000</v>
      </c>
      <c r="I104" s="1398" t="s">
        <v>1046</v>
      </c>
    </row>
    <row r="105" spans="2:9" ht="24" customHeight="1" x14ac:dyDescent="0.3">
      <c r="B105" s="1358" t="str">
        <f>'MTP_lines-polygons'!E48</f>
        <v>M121</v>
      </c>
      <c r="C105" s="1375" t="str">
        <f>'MTP_lines-polygons'!F48</f>
        <v>Chaplin Rd Improvements</v>
      </c>
      <c r="D105" s="1376" t="str">
        <f>'MTP_lines-polygons'!H48</f>
        <v>I-79 Interchange</v>
      </c>
      <c r="E105" s="1376" t="str">
        <f>'MTP_lines-polygons'!I48</f>
        <v>Mylan Park</v>
      </c>
      <c r="F105" s="1124" t="s">
        <v>1534</v>
      </c>
      <c r="G105" s="1396">
        <f>'MTP_lines-polygons'!K48</f>
        <v>2.2601412234848484</v>
      </c>
      <c r="H105" s="1418">
        <f>ROUND('MTP_lines-polygons'!P48,-5)</f>
        <v>7300000</v>
      </c>
      <c r="I105" s="1398" t="s">
        <v>1046</v>
      </c>
    </row>
    <row r="106" spans="2:9" ht="24" customHeight="1" x14ac:dyDescent="0.3">
      <c r="B106" s="1358" t="str">
        <f>'MTP_lines-polygons'!E49</f>
        <v>M122</v>
      </c>
      <c r="C106" s="1375" t="str">
        <f>'MTP_lines-polygons'!F49</f>
        <v>Trail Connection-Campus Connection</v>
      </c>
      <c r="D106" s="1376" t="str">
        <f>'MTP_lines-polygons'!H49</f>
        <v>Grant Ave</v>
      </c>
      <c r="E106" s="1376" t="str">
        <f>'MTP_lines-polygons'!I49</f>
        <v>Riverview Dr</v>
      </c>
      <c r="F106" s="1124" t="s">
        <v>1533</v>
      </c>
      <c r="G106" s="1396">
        <f>'MTP_lines-polygons'!K49</f>
        <v>0.42492694147727272</v>
      </c>
      <c r="H106" s="1418">
        <f>ROUND('MTP_lines-polygons'!P49,-5)</f>
        <v>2500000</v>
      </c>
      <c r="I106" s="1398" t="s">
        <v>1046</v>
      </c>
    </row>
    <row r="107" spans="2:9" ht="24" customHeight="1" x14ac:dyDescent="0.3">
      <c r="B107" s="1358" t="str">
        <f>'MTP_lines-polygons'!E50</f>
        <v>M123</v>
      </c>
      <c r="C107" s="1375" t="str">
        <f>'MTP_lines-polygons'!F50</f>
        <v>Trail Connection-Collins Ferry to Mon River North Trail</v>
      </c>
      <c r="D107" s="1376" t="str">
        <f>'MTP_lines-polygons'!H50</f>
        <v>Collins Ferry Rd</v>
      </c>
      <c r="E107" s="1359" t="str">
        <f>'MTP_lines-polygons'!I50</f>
        <v>Mon River North Trail</v>
      </c>
      <c r="F107" s="1124" t="s">
        <v>1531</v>
      </c>
      <c r="G107" s="1396">
        <f>'MTP_lines-polygons'!K50</f>
        <v>0.27223524507575758</v>
      </c>
      <c r="H107" s="1418">
        <f>ROUND('MTP_lines-polygons'!P50,-5)</f>
        <v>400000</v>
      </c>
      <c r="I107" s="1398" t="s">
        <v>1046</v>
      </c>
    </row>
    <row r="108" spans="2:9" ht="24" customHeight="1" x14ac:dyDescent="0.3">
      <c r="B108" s="1358" t="str">
        <f>'MTP_lines-polygons'!E51</f>
        <v>M124</v>
      </c>
      <c r="C108" s="1375" t="str">
        <f>'MTP_lines-polygons'!F51</f>
        <v>Collins Ferry Rd Multimodal Improvements</v>
      </c>
      <c r="D108" s="1359" t="str">
        <f>'MTP_lines-polygons'!H51</f>
        <v>Suncrest Elementary School</v>
      </c>
      <c r="E108" s="1359" t="str">
        <f>'MTP_lines-polygons'!I51</f>
        <v>Mon River North Trail Head</v>
      </c>
      <c r="F108" s="1124" t="s">
        <v>1532</v>
      </c>
      <c r="G108" s="1396">
        <f>'MTP_lines-polygons'!K51</f>
        <v>0.26769133371212117</v>
      </c>
      <c r="H108" s="1418">
        <f>ROUND('MTP_lines-polygons'!P51,-5)</f>
        <v>600000</v>
      </c>
      <c r="I108" s="1398" t="s">
        <v>1046</v>
      </c>
    </row>
    <row r="109" spans="2:9" ht="24" customHeight="1" x14ac:dyDescent="0.3">
      <c r="B109" s="1358" t="str">
        <f>'MTP_lines-polygons'!E52</f>
        <v>M125</v>
      </c>
      <c r="C109" s="1375" t="str">
        <f>'MTP_lines-polygons'!F52</f>
        <v>WV-705 Multiuse Path</v>
      </c>
      <c r="D109" s="1359" t="str">
        <f>'MTP_lines-polygons'!H52</f>
        <v>Don Nehlen / Mon General Dr</v>
      </c>
      <c r="E109" s="1376" t="str">
        <f>'MTP_lines-polygons'!I52</f>
        <v>Stewartstown Rd</v>
      </c>
      <c r="F109" s="1124" t="s">
        <v>1529</v>
      </c>
      <c r="G109" s="1396">
        <f>'MTP_lines-polygons'!K52</f>
        <v>1.676427837878788</v>
      </c>
      <c r="H109" s="1418">
        <f>ROUND('MTP_lines-polygons'!P52,-5)</f>
        <v>2700000</v>
      </c>
      <c r="I109" s="1398" t="s">
        <v>1046</v>
      </c>
    </row>
    <row r="110" spans="2:9" s="1128" customFormat="1" ht="28.2" thickBot="1" x14ac:dyDescent="0.35">
      <c r="B110" s="1360" t="str">
        <f>'MTP_lines-polygons'!E53</f>
        <v>M126</v>
      </c>
      <c r="C110" s="1377" t="str">
        <f>'MTP_lines-polygons'!F53</f>
        <v>Trail Connection-Caperton Trail to Evansdale Dr</v>
      </c>
      <c r="D110" s="1378" t="str">
        <f>'MTP_lines-polygons'!H53</f>
        <v>Caperton Trail</v>
      </c>
      <c r="E110" s="1378" t="str">
        <f>'MTP_lines-polygons'!I53</f>
        <v>Evansdale Dr</v>
      </c>
      <c r="F110" s="1125" t="s">
        <v>1530</v>
      </c>
      <c r="G110" s="1402">
        <f>'MTP_lines-polygons'!K53</f>
        <v>0.65360280340909094</v>
      </c>
      <c r="H110" s="1420">
        <f>ROUND('MTP_lines-polygons'!P53,-5)</f>
        <v>2300000</v>
      </c>
      <c r="I110" s="1404" t="s">
        <v>1046</v>
      </c>
    </row>
    <row r="111" spans="2:9" s="1128" customFormat="1" ht="15" thickBot="1" x14ac:dyDescent="0.35">
      <c r="B111" s="1363"/>
      <c r="C111" s="1381"/>
      <c r="D111" s="1382"/>
      <c r="E111" s="1382"/>
      <c r="F111" s="1131"/>
      <c r="G111" s="1421"/>
      <c r="H111" s="1422"/>
      <c r="I111" s="1415"/>
    </row>
    <row r="112" spans="2:9" s="1132" customFormat="1" ht="15.6" x14ac:dyDescent="0.3">
      <c r="B112" s="1353" t="s">
        <v>1058</v>
      </c>
      <c r="C112" s="1370"/>
      <c r="D112" s="1371"/>
      <c r="E112" s="1371"/>
      <c r="F112" s="1135"/>
      <c r="G112" s="1354"/>
      <c r="H112" s="1389"/>
      <c r="I112" s="1390"/>
    </row>
    <row r="113" spans="2:9" s="1122" customFormat="1" ht="15" thickBot="1" x14ac:dyDescent="0.35">
      <c r="B113" s="1355" t="s">
        <v>1014</v>
      </c>
      <c r="C113" s="1372" t="s">
        <v>2</v>
      </c>
      <c r="D113" s="1372" t="s">
        <v>1498</v>
      </c>
      <c r="E113" s="1372" t="s">
        <v>1477</v>
      </c>
      <c r="F113" s="1121" t="s">
        <v>605</v>
      </c>
      <c r="G113" s="1356" t="s">
        <v>12</v>
      </c>
      <c r="H113" s="1391" t="s">
        <v>1026</v>
      </c>
      <c r="I113" s="1423" t="s">
        <v>15</v>
      </c>
    </row>
    <row r="114" spans="2:9" ht="28.8" x14ac:dyDescent="0.3">
      <c r="B114" s="1357" t="str">
        <f>'MTP_lines-polygons'!E54</f>
        <v>C1</v>
      </c>
      <c r="C114" s="1373" t="str">
        <f>'MTP_lines-polygons'!F54</f>
        <v>Morgantown Industrial Park Access Improvements</v>
      </c>
      <c r="D114" s="1374" t="str">
        <f>'MTP_lines-polygons'!H54</f>
        <v>New Exit 150 (River Road)</v>
      </c>
      <c r="E114" s="1374" t="str">
        <f>'MTP_lines-polygons'!I54</f>
        <v>--</v>
      </c>
      <c r="F114" s="1123" t="s">
        <v>1528</v>
      </c>
      <c r="G114" s="1424" t="str">
        <f>'MTP_lines-polygons'!K54</f>
        <v>--</v>
      </c>
      <c r="H114" s="1394">
        <f>ROUND('MTP_lines-polygons'!P54,-5)</f>
        <v>20500000</v>
      </c>
      <c r="I114" s="1425" t="s">
        <v>1051</v>
      </c>
    </row>
    <row r="115" spans="2:9" x14ac:dyDescent="0.3">
      <c r="B115" s="1358" t="str">
        <f>'MTP_lines-polygons'!E56</f>
        <v>C2a</v>
      </c>
      <c r="C115" s="1375" t="str">
        <f>'MTP_lines-polygons'!F56</f>
        <v>Beechurst Avenue Study</v>
      </c>
      <c r="D115" s="1376" t="str">
        <f>'MTP_lines-polygons'!H56</f>
        <v>University Ave</v>
      </c>
      <c r="E115" s="1376" t="str">
        <f>'MTP_lines-polygons'!I56</f>
        <v>8th St</v>
      </c>
      <c r="F115" s="1124" t="s">
        <v>1516</v>
      </c>
      <c r="G115" s="1426">
        <f>'MTP_lines-polygons'!K56</f>
        <v>1.9496979517045454</v>
      </c>
      <c r="H115" s="1397">
        <f>ROUND('MTP_lines-polygons'!P56,-5)</f>
        <v>300000</v>
      </c>
      <c r="I115" s="1427" t="s">
        <v>1050</v>
      </c>
    </row>
    <row r="116" spans="2:9" ht="28.8" x14ac:dyDescent="0.3">
      <c r="B116" s="1358" t="str">
        <f>'MTP_lines-polygons'!E55</f>
        <v>C2</v>
      </c>
      <c r="C116" s="1375" t="str">
        <f>'MTP_lines-polygons'!F55</f>
        <v>Downtown Morgantown Master Plan Study</v>
      </c>
      <c r="D116" s="1376" t="str">
        <f>'MTP_lines-polygons'!H55</f>
        <v>Downtown Morgantown</v>
      </c>
      <c r="E116" s="1376" t="str">
        <f>'MTP_lines-polygons'!I55</f>
        <v>--</v>
      </c>
      <c r="F116" s="1124" t="s">
        <v>1517</v>
      </c>
      <c r="G116" s="1426" t="str">
        <f>'MTP_lines-polygons'!K55</f>
        <v>--</v>
      </c>
      <c r="H116" s="1397">
        <f>ROUND('MTP_lines-polygons'!P55,-5)</f>
        <v>300000</v>
      </c>
      <c r="I116" s="1427" t="s">
        <v>1050</v>
      </c>
    </row>
    <row r="117" spans="2:9" ht="28.8" x14ac:dyDescent="0.3">
      <c r="B117" s="1358" t="str">
        <f>'MTP_lines-polygons'!E57</f>
        <v>C3</v>
      </c>
      <c r="C117" s="1375" t="str">
        <f>'MTP_lines-polygons'!F57</f>
        <v>Evansdale Neighborhood Safety Study</v>
      </c>
      <c r="D117" s="1376" t="str">
        <f>'MTP_lines-polygons'!H57</f>
        <v>Evansdale Neighborhood</v>
      </c>
      <c r="E117" s="1376" t="str">
        <f>'MTP_lines-polygons'!I57</f>
        <v>--</v>
      </c>
      <c r="F117" s="1124" t="s">
        <v>1518</v>
      </c>
      <c r="G117" s="1426">
        <f>'MTP_lines-polygons'!K57</f>
        <v>0</v>
      </c>
      <c r="H117" s="1397">
        <f>ROUND('MTP_lines-polygons'!P57,-5)</f>
        <v>300000</v>
      </c>
      <c r="I117" s="1427" t="s">
        <v>1050</v>
      </c>
    </row>
    <row r="118" spans="2:9" ht="28.8" x14ac:dyDescent="0.3">
      <c r="B118" s="1358" t="str">
        <f>'MTP_lines-polygons'!E58</f>
        <v>C4</v>
      </c>
      <c r="C118" s="1375" t="str">
        <f>'MTP_lines-polygons'!F58</f>
        <v>Morgantown Waterfront Transportation Study</v>
      </c>
      <c r="D118" s="1376" t="str">
        <f>'MTP_lines-polygons'!H58</f>
        <v>Morgantown Waterfront</v>
      </c>
      <c r="E118" s="1376" t="str">
        <f>'MTP_lines-polygons'!I58</f>
        <v>Downtown</v>
      </c>
      <c r="F118" s="1124" t="s">
        <v>1519</v>
      </c>
      <c r="G118" s="1426">
        <f>'MTP_lines-polygons'!K58</f>
        <v>0</v>
      </c>
      <c r="H118" s="1397">
        <f>ROUND('MTP_lines-polygons'!P58,-5)</f>
        <v>300000</v>
      </c>
      <c r="I118" s="1427" t="s">
        <v>1050</v>
      </c>
    </row>
    <row r="119" spans="2:9" ht="28.8" x14ac:dyDescent="0.3">
      <c r="B119" s="1358" t="str">
        <f>'MTP_lines-polygons'!E59</f>
        <v>C5</v>
      </c>
      <c r="C119" s="1375" t="str">
        <f>'MTP_lines-polygons'!F59</f>
        <v>Protzman/Falling Run Pedestrian and Bicycle Connector</v>
      </c>
      <c r="D119" s="1376" t="str">
        <f>'MTP_lines-polygons'!H59</f>
        <v>End of Trail</v>
      </c>
      <c r="E119" s="1376" t="str">
        <f>'MTP_lines-polygons'!I59</f>
        <v>University Ave</v>
      </c>
      <c r="F119" s="1124" t="s">
        <v>1520</v>
      </c>
      <c r="G119" s="1426">
        <f>'MTP_lines-polygons'!K59</f>
        <v>0.47706859848484851</v>
      </c>
      <c r="H119" s="1397">
        <f>ROUND('MTP_lines-polygons'!P59,-5)</f>
        <v>1800000</v>
      </c>
      <c r="I119" s="1398" t="s">
        <v>1137</v>
      </c>
    </row>
    <row r="120" spans="2:9" ht="28.8" x14ac:dyDescent="0.3">
      <c r="B120" s="1358" t="str">
        <f>'MTP_lines-polygons'!E60</f>
        <v>C6</v>
      </c>
      <c r="C120" s="1375" t="str">
        <f>'MTP_lines-polygons'!F60</f>
        <v>New Roadway Connection - Mileground to Hartman Run</v>
      </c>
      <c r="D120" s="1376" t="str">
        <f>'MTP_lines-polygons'!H60</f>
        <v>Mileground Rd (US 119)</v>
      </c>
      <c r="E120" s="1376" t="str">
        <f>'MTP_lines-polygons'!I60</f>
        <v>Hartman Run Rd</v>
      </c>
      <c r="F120" s="1124" t="s">
        <v>1521</v>
      </c>
      <c r="G120" s="1426">
        <f>'MTP_lines-polygons'!K60</f>
        <v>0.68211072159090913</v>
      </c>
      <c r="H120" s="1397">
        <f>ROUND('MTP_lines-polygons'!P60,-5)</f>
        <v>13400000</v>
      </c>
      <c r="I120" s="1428" t="s">
        <v>1051</v>
      </c>
    </row>
    <row r="121" spans="2:9" ht="28.8" x14ac:dyDescent="0.3">
      <c r="B121" s="1358" t="str">
        <f>'MTP_lines-polygons'!E61</f>
        <v>C7</v>
      </c>
      <c r="C121" s="1375" t="str">
        <f>'MTP_lines-polygons'!F61</f>
        <v>New Roadway Connection - Stewart to Mileground</v>
      </c>
      <c r="D121" s="1359" t="str">
        <f>'MTP_lines-polygons'!H61</f>
        <v>VanGilder Ave / Protzman / Stewart St</v>
      </c>
      <c r="E121" s="1376" t="str">
        <f>'MTP_lines-polygons'!I61</f>
        <v>Mileground Rd / Robinson St</v>
      </c>
      <c r="F121" s="1124" t="s">
        <v>1521</v>
      </c>
      <c r="G121" s="1426">
        <f>'MTP_lines-polygons'!K61</f>
        <v>0.6413495446969697</v>
      </c>
      <c r="H121" s="1397">
        <f>ROUND('MTP_lines-polygons'!P61,-5)</f>
        <v>14600000</v>
      </c>
      <c r="I121" s="1428" t="s">
        <v>1051</v>
      </c>
    </row>
    <row r="122" spans="2:9" ht="27.6" x14ac:dyDescent="0.3">
      <c r="B122" s="1358" t="str">
        <f>'MTP_lines-polygons'!E62</f>
        <v>C8</v>
      </c>
      <c r="C122" s="1375" t="str">
        <f>'MTP_lines-polygons'!F62</f>
        <v>Extension of Airport Industrial Road</v>
      </c>
      <c r="D122" s="1376" t="str">
        <f>'MTP_lines-polygons'!H62</f>
        <v>Near I-68 / Cheat Rd</v>
      </c>
      <c r="E122" s="1376" t="str">
        <f>'MTP_lines-polygons'!I62</f>
        <v>WV 7 in Sabraton</v>
      </c>
      <c r="F122" s="1124" t="s">
        <v>1527</v>
      </c>
      <c r="G122" s="1426">
        <f>'MTP_lines-polygons'!K62</f>
        <v>1.6571969696969697</v>
      </c>
      <c r="H122" s="1397">
        <f>ROUND('MTP_lines-polygons'!P62,-5)</f>
        <v>18100000</v>
      </c>
      <c r="I122" s="1428" t="s">
        <v>1051</v>
      </c>
    </row>
    <row r="123" spans="2:9" ht="28.8" x14ac:dyDescent="0.3">
      <c r="B123" s="1358" t="str">
        <f>'MTP_lines-polygons'!E63</f>
        <v>C9</v>
      </c>
      <c r="C123" s="1375" t="str">
        <f>'MTP_lines-polygons'!F63</f>
        <v>New Roadway Connection - Mountain Valley Drive Extension</v>
      </c>
      <c r="D123" s="1376" t="str">
        <f>'MTP_lines-polygons'!H63</f>
        <v>Mountain Valley Drive</v>
      </c>
      <c r="E123" s="1376" t="str">
        <f>'MTP_lines-polygons'!I63</f>
        <v>Lazelle Union Rd</v>
      </c>
      <c r="F123" s="1124" t="s">
        <v>1526</v>
      </c>
      <c r="G123" s="1426">
        <f>'MTP_lines-polygons'!K63</f>
        <v>0.85541472178030309</v>
      </c>
      <c r="H123" s="1397">
        <f>ROUND('MTP_lines-polygons'!P63,-5)</f>
        <v>36000000</v>
      </c>
      <c r="I123" s="1428" t="s">
        <v>1051</v>
      </c>
    </row>
    <row r="124" spans="2:9" ht="28.8" x14ac:dyDescent="0.3">
      <c r="B124" s="1358" t="str">
        <f>'MTP_lines-polygons'!E64</f>
        <v>C10</v>
      </c>
      <c r="C124" s="1375" t="str">
        <f>'MTP_lines-polygons'!F64</f>
        <v>New Roadway Connection - Southern Mon River Bridge</v>
      </c>
      <c r="D124" s="1376" t="str">
        <f>'MTP_lines-polygons'!H64</f>
        <v>Greenbag Rd</v>
      </c>
      <c r="E124" s="1376" t="str">
        <f>'MTP_lines-polygons'!I64</f>
        <v>Industrial Park Dr</v>
      </c>
      <c r="F124" s="1124" t="s">
        <v>1522</v>
      </c>
      <c r="G124" s="1426">
        <f>'MTP_lines-polygons'!K64</f>
        <v>0.77304157253787875</v>
      </c>
      <c r="H124" s="1397">
        <f>ROUND('MTP_lines-polygons'!P64,-5)</f>
        <v>74300000</v>
      </c>
      <c r="I124" s="1428" t="s">
        <v>1051</v>
      </c>
    </row>
    <row r="125" spans="2:9" ht="27.6" x14ac:dyDescent="0.3">
      <c r="B125" s="1358" t="str">
        <f>'MTP_lines-polygons'!E65</f>
        <v>C11</v>
      </c>
      <c r="C125" s="1375" t="str">
        <f>'MTP_lines-polygons'!F65</f>
        <v>New Roadway Connection - Industrial Park Rd</v>
      </c>
      <c r="D125" s="1376" t="str">
        <f>'MTP_lines-polygons'!H65</f>
        <v>River Rd</v>
      </c>
      <c r="E125" s="1376" t="str">
        <f>'MTP_lines-polygons'!I65</f>
        <v>Industrial Park Dr</v>
      </c>
      <c r="F125" s="1124" t="s">
        <v>1525</v>
      </c>
      <c r="G125" s="1426">
        <f>'MTP_lines-polygons'!K65</f>
        <v>0.51462413371212123</v>
      </c>
      <c r="H125" s="1397">
        <f>ROUND('MTP_lines-polygons'!P65,-5)</f>
        <v>7100000</v>
      </c>
      <c r="I125" s="1428" t="s">
        <v>1051</v>
      </c>
    </row>
    <row r="126" spans="2:9" ht="28.8" x14ac:dyDescent="0.3">
      <c r="B126" s="1358" t="str">
        <f>'MTP_lines-polygons'!E66</f>
        <v>C12</v>
      </c>
      <c r="C126" s="1375" t="str">
        <f>'MTP_lines-polygons'!F66</f>
        <v>PRT Extension - Segment 1</v>
      </c>
      <c r="D126" s="1376" t="str">
        <f>'MTP_lines-polygons'!H66</f>
        <v>University Health Sciences</v>
      </c>
      <c r="E126" s="1376" t="str">
        <f>'MTP_lines-polygons'!I66</f>
        <v>Mon General Hospital</v>
      </c>
      <c r="F126" s="1124" t="s">
        <v>1524</v>
      </c>
      <c r="G126" s="1426">
        <f>'MTP_lines-polygons'!K66</f>
        <v>2.7537734151786362</v>
      </c>
      <c r="H126" s="1397">
        <f>ROUND('MTP_lines-polygons'!P66,-5)</f>
        <v>65000000</v>
      </c>
      <c r="I126" s="1429" t="s">
        <v>1052</v>
      </c>
    </row>
    <row r="127" spans="2:9" ht="27.6" x14ac:dyDescent="0.3">
      <c r="B127" s="1358" t="str">
        <f>'MTP_lines-polygons'!E67</f>
        <v>C13</v>
      </c>
      <c r="C127" s="1375" t="str">
        <f>'MTP_lines-polygons'!F67</f>
        <v>PRT Extension - Segment 2</v>
      </c>
      <c r="D127" s="1376" t="str">
        <f>'MTP_lines-polygons'!H67</f>
        <v>Mon General Hospital</v>
      </c>
      <c r="E127" s="1376" t="str">
        <f>'MTP_lines-polygons'!I67</f>
        <v>Glenmark Centre</v>
      </c>
      <c r="F127" s="1124" t="s">
        <v>1523</v>
      </c>
      <c r="G127" s="1426">
        <f>'MTP_lines-polygons'!K67</f>
        <v>6.2126916664373297</v>
      </c>
      <c r="H127" s="1397">
        <f>ROUND('MTP_lines-polygons'!P67,-5)</f>
        <v>117400000</v>
      </c>
      <c r="I127" s="1429" t="s">
        <v>1052</v>
      </c>
    </row>
    <row r="128" spans="2:9" ht="29.4" thickBot="1" x14ac:dyDescent="0.35">
      <c r="B128" s="1360" t="str">
        <f>'MTP_lines-polygons'!E68</f>
        <v>C14</v>
      </c>
      <c r="C128" s="1377" t="str">
        <f>'MTP_lines-polygons'!F68</f>
        <v>New Roadway Connection - WestRidge Development</v>
      </c>
      <c r="D128" s="1378" t="str">
        <f>'MTP_lines-polygons'!H68</f>
        <v>Chaplin Road</v>
      </c>
      <c r="E128" s="1378" t="str">
        <f>'MTP_lines-polygons'!I68</f>
        <v>Solomon Rd</v>
      </c>
      <c r="F128" s="1125" t="s">
        <v>1763</v>
      </c>
      <c r="G128" s="1430">
        <f>'MTP_lines-polygons'!K68</f>
        <v>1.4037611882575758</v>
      </c>
      <c r="H128" s="1403">
        <f>ROUND('MTP_lines-polygons'!P68,-5)</f>
        <v>44000000</v>
      </c>
      <c r="I128" s="1436" t="s">
        <v>1051</v>
      </c>
    </row>
  </sheetData>
  <sortState xmlns:xlrd2="http://schemas.microsoft.com/office/spreadsheetml/2017/richdata2" ref="B114:I121">
    <sortCondition ref="B114:B121"/>
  </sortState>
  <phoneticPr fontId="29" type="noConversion"/>
  <conditionalFormatting sqref="B13:C13 G7:H24 B7:F12 B5:H6 B28:H53 B14:F24 B57:H82 B4:I4 B25:I25 B85:H110 B114:H128">
    <cfRule type="expression" dxfId="9" priority="161">
      <formula>MOD(ROW(),2)=0</formula>
    </cfRule>
  </conditionalFormatting>
  <conditionalFormatting sqref="D13:F13">
    <cfRule type="expression" dxfId="8" priority="128">
      <formula>MOD(ROW(),2)=0</formula>
    </cfRule>
  </conditionalFormatting>
  <conditionalFormatting sqref="C27:I27">
    <cfRule type="expression" dxfId="7" priority="9">
      <formula>MOD(ROW(),2)=0</formula>
    </cfRule>
  </conditionalFormatting>
  <conditionalFormatting sqref="C56:I56">
    <cfRule type="expression" dxfId="6" priority="8">
      <formula>MOD(ROW(),2)=0</formula>
    </cfRule>
  </conditionalFormatting>
  <conditionalFormatting sqref="C113:I113">
    <cfRule type="expression" dxfId="5" priority="7">
      <formula>MOD(ROW(),2)=0</formula>
    </cfRule>
  </conditionalFormatting>
  <conditionalFormatting sqref="C84:I84">
    <cfRule type="expression" dxfId="4" priority="6">
      <formula>MOD(ROW(),2)=0</formula>
    </cfRule>
  </conditionalFormatting>
  <conditionalFormatting sqref="B27">
    <cfRule type="expression" dxfId="3" priority="5">
      <formula>MOD(ROW(),2)=0</formula>
    </cfRule>
  </conditionalFormatting>
  <conditionalFormatting sqref="B56">
    <cfRule type="expression" dxfId="2" priority="4">
      <formula>MOD(ROW(),2)=0</formula>
    </cfRule>
  </conditionalFormatting>
  <conditionalFormatting sqref="B84">
    <cfRule type="expression" dxfId="1" priority="3">
      <formula>MOD(ROW(),2)=0</formula>
    </cfRule>
  </conditionalFormatting>
  <conditionalFormatting sqref="B113">
    <cfRule type="expression" dxfId="0" priority="2">
      <formula>MOD(ROW(),2)=0</formula>
    </cfRule>
  </conditionalFormatting>
  <pageMargins left="0.25" right="0.25" top="0.5" bottom="0.5" header="0.3" footer="0.3"/>
  <pageSetup paperSize="17" fitToHeight="0" orientation="landscape" verticalDpi="1200" r:id="rId1"/>
  <rowBreaks count="4" manualBreakCount="4">
    <brk id="25" max="9" man="1"/>
    <brk id="54" max="9" man="1"/>
    <brk id="82" max="9" man="1"/>
    <brk id="11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B4C46-5DDD-41A0-9E1E-C211A6628C27}">
  <sheetPr>
    <tabColor rgb="FFFFFF00"/>
  </sheetPr>
  <dimension ref="A1:AC45"/>
  <sheetViews>
    <sheetView topLeftCell="C1" workbookViewId="0">
      <pane xSplit="3" ySplit="1" topLeftCell="F2" activePane="bottomRight" state="frozen"/>
      <selection activeCell="C1" sqref="C1"/>
      <selection pane="topRight" activeCell="F1" sqref="F1"/>
      <selection pane="bottomLeft" activeCell="C2" sqref="C2"/>
      <selection pane="bottomRight" activeCell="F2" sqref="F2"/>
    </sheetView>
  </sheetViews>
  <sheetFormatPr defaultColWidth="9.109375" defaultRowHeight="13.8" x14ac:dyDescent="0.3"/>
  <cols>
    <col min="1" max="1" width="15.88671875" style="30" hidden="1" customWidth="1"/>
    <col min="2" max="2" width="17.33203125" style="30" hidden="1" customWidth="1"/>
    <col min="3" max="3" width="5.33203125" style="29" customWidth="1"/>
    <col min="4" max="4" width="29.6640625" style="30" customWidth="1"/>
    <col min="5" max="5" width="8.33203125" style="30" hidden="1" customWidth="1"/>
    <col min="6" max="7" width="12.5546875" style="266" customWidth="1"/>
    <col min="8" max="8" width="11.33203125" style="30" hidden="1" customWidth="1"/>
    <col min="9" max="9" width="7.6640625" style="34" customWidth="1"/>
    <col min="10" max="10" width="8.6640625" style="266" customWidth="1"/>
    <col min="11" max="11" width="6.33203125" style="30" customWidth="1"/>
    <col min="12" max="12" width="13" style="30" hidden="1" customWidth="1"/>
    <col min="13" max="13" width="14" style="255" customWidth="1"/>
    <col min="14" max="14" width="7.33203125" style="30" hidden="1" customWidth="1"/>
    <col min="15" max="15" width="6" style="30" customWidth="1"/>
    <col min="16" max="16" width="9.33203125" style="87" customWidth="1"/>
    <col min="17" max="17" width="10.44140625" style="87" bestFit="1" customWidth="1"/>
    <col min="18" max="19" width="8.33203125" style="87" customWidth="1"/>
    <col min="20" max="20" width="35.5546875" style="177" customWidth="1"/>
    <col min="21" max="21" width="10.88671875" style="34" hidden="1" customWidth="1"/>
    <col min="22" max="23" width="7" style="372" customWidth="1"/>
    <col min="24" max="24" width="9.88671875" style="175" hidden="1" customWidth="1"/>
    <col min="25" max="25" width="5.88671875" style="175" hidden="1" customWidth="1"/>
    <col min="26" max="26" width="6.109375" style="176" hidden="1" customWidth="1"/>
    <col min="27" max="27" width="23.44140625" style="176" customWidth="1"/>
    <col min="28" max="28" width="15.44140625" style="30" hidden="1" customWidth="1"/>
    <col min="29" max="29" width="23.44140625" style="176" customWidth="1"/>
    <col min="30" max="16384" width="9.109375" style="30"/>
  </cols>
  <sheetData>
    <row r="1" spans="1:29" s="250" customFormat="1" ht="27.6" x14ac:dyDescent="0.3">
      <c r="A1" s="244" t="s">
        <v>0</v>
      </c>
      <c r="B1" s="244" t="s">
        <v>1</v>
      </c>
      <c r="C1" s="244" t="s">
        <v>739</v>
      </c>
      <c r="D1" s="244" t="s">
        <v>2</v>
      </c>
      <c r="E1" s="244" t="s">
        <v>738</v>
      </c>
      <c r="F1" s="249" t="s">
        <v>3</v>
      </c>
      <c r="G1" s="249" t="s">
        <v>4</v>
      </c>
      <c r="H1" s="245" t="s">
        <v>16</v>
      </c>
      <c r="I1" s="245" t="s">
        <v>5</v>
      </c>
      <c r="J1" s="244" t="s">
        <v>6</v>
      </c>
      <c r="K1" s="244" t="s">
        <v>7</v>
      </c>
      <c r="L1" s="244" t="s">
        <v>8</v>
      </c>
      <c r="M1" s="251" t="s">
        <v>9</v>
      </c>
      <c r="N1" s="244" t="s">
        <v>11</v>
      </c>
      <c r="O1" s="244" t="s">
        <v>12</v>
      </c>
      <c r="P1" s="243" t="s">
        <v>13</v>
      </c>
      <c r="Q1" s="243" t="s">
        <v>14</v>
      </c>
      <c r="R1" s="243" t="s">
        <v>616</v>
      </c>
      <c r="S1" s="243" t="s">
        <v>667</v>
      </c>
      <c r="T1" s="244" t="s">
        <v>15</v>
      </c>
      <c r="U1" s="245" t="s">
        <v>20</v>
      </c>
      <c r="V1" s="334" t="s">
        <v>739</v>
      </c>
      <c r="W1" s="406" t="s">
        <v>834</v>
      </c>
      <c r="X1" s="246" t="s">
        <v>22</v>
      </c>
      <c r="Y1" s="247" t="s">
        <v>23</v>
      </c>
      <c r="Z1" s="248" t="s">
        <v>24</v>
      </c>
      <c r="AA1" s="248" t="s">
        <v>363</v>
      </c>
      <c r="AB1" s="244" t="s">
        <v>336</v>
      </c>
      <c r="AC1" s="248" t="s">
        <v>753</v>
      </c>
    </row>
    <row r="2" spans="1:29" s="162" customFormat="1" ht="27.6" x14ac:dyDescent="0.3">
      <c r="A2" s="163" t="s">
        <v>228</v>
      </c>
      <c r="B2" s="163" t="s">
        <v>229</v>
      </c>
      <c r="C2" s="373">
        <f>V2</f>
        <v>1</v>
      </c>
      <c r="D2" s="163" t="s">
        <v>230</v>
      </c>
      <c r="E2" s="163" t="s">
        <v>231</v>
      </c>
      <c r="F2" s="179" t="s">
        <v>641</v>
      </c>
      <c r="G2" s="179" t="s">
        <v>642</v>
      </c>
      <c r="H2" s="183">
        <v>45685</v>
      </c>
      <c r="I2" s="178">
        <v>2025</v>
      </c>
      <c r="J2" s="179" t="s">
        <v>366</v>
      </c>
      <c r="K2" s="179" t="s">
        <v>29</v>
      </c>
      <c r="L2" s="180">
        <v>1274400</v>
      </c>
      <c r="M2" s="252">
        <v>1593000</v>
      </c>
      <c r="N2" s="191">
        <v>0</v>
      </c>
      <c r="O2" s="186">
        <v>1.33</v>
      </c>
      <c r="P2" s="182" t="s">
        <v>57</v>
      </c>
      <c r="Q2" s="182" t="s">
        <v>74</v>
      </c>
      <c r="R2" s="182" t="s">
        <v>591</v>
      </c>
      <c r="S2" s="182" t="s">
        <v>968</v>
      </c>
      <c r="T2" s="179" t="s">
        <v>201</v>
      </c>
      <c r="U2" s="233">
        <v>44126</v>
      </c>
      <c r="V2" s="363">
        <v>1</v>
      </c>
      <c r="W2" s="363" t="s">
        <v>885</v>
      </c>
      <c r="X2" s="238" t="s">
        <v>376</v>
      </c>
      <c r="Y2" s="184" t="s">
        <v>37</v>
      </c>
      <c r="Z2" s="184">
        <v>1</v>
      </c>
      <c r="AA2" s="184" t="s">
        <v>364</v>
      </c>
      <c r="AB2" s="184"/>
      <c r="AC2" s="184"/>
    </row>
    <row r="3" spans="1:29" s="162" customFormat="1" x14ac:dyDescent="0.3">
      <c r="A3" s="163" t="s">
        <v>373</v>
      </c>
      <c r="B3" s="163" t="s">
        <v>374</v>
      </c>
      <c r="C3" s="373">
        <f t="shared" ref="C3:C33" si="0">V3</f>
        <v>2</v>
      </c>
      <c r="D3" s="163" t="s">
        <v>580</v>
      </c>
      <c r="E3" s="163" t="s">
        <v>80</v>
      </c>
      <c r="F3" s="179" t="s">
        <v>614</v>
      </c>
      <c r="G3" s="179" t="s">
        <v>643</v>
      </c>
      <c r="H3" s="183">
        <v>45044</v>
      </c>
      <c r="I3" s="178">
        <v>2023</v>
      </c>
      <c r="J3" s="179" t="s">
        <v>69</v>
      </c>
      <c r="K3" s="179" t="s">
        <v>29</v>
      </c>
      <c r="L3" s="180">
        <v>480000</v>
      </c>
      <c r="M3" s="252">
        <v>384000</v>
      </c>
      <c r="N3" s="191">
        <v>0</v>
      </c>
      <c r="O3" s="186">
        <f>857.5/5280</f>
        <v>0.16240530303030304</v>
      </c>
      <c r="P3" s="182" t="s">
        <v>57</v>
      </c>
      <c r="Q3" s="182" t="s">
        <v>74</v>
      </c>
      <c r="R3" s="182" t="s">
        <v>591</v>
      </c>
      <c r="S3" s="182" t="s">
        <v>968</v>
      </c>
      <c r="T3" s="179" t="s">
        <v>375</v>
      </c>
      <c r="U3" s="190"/>
      <c r="V3" s="364">
        <v>2</v>
      </c>
      <c r="W3" s="364" t="s">
        <v>887</v>
      </c>
      <c r="X3" s="238" t="s">
        <v>376</v>
      </c>
      <c r="Y3" s="184" t="s">
        <v>37</v>
      </c>
      <c r="Z3" s="184">
        <v>2</v>
      </c>
      <c r="AA3" s="184" t="s">
        <v>364</v>
      </c>
      <c r="AB3" s="184"/>
      <c r="AC3" s="184"/>
    </row>
    <row r="4" spans="1:29" s="162" customFormat="1" x14ac:dyDescent="0.3">
      <c r="A4" s="163" t="s">
        <v>177</v>
      </c>
      <c r="B4" s="163" t="s">
        <v>199</v>
      </c>
      <c r="C4" s="373">
        <f t="shared" si="0"/>
        <v>4</v>
      </c>
      <c r="D4" s="163" t="s">
        <v>200</v>
      </c>
      <c r="E4" s="163" t="s">
        <v>124</v>
      </c>
      <c r="F4" s="179" t="s">
        <v>644</v>
      </c>
      <c r="G4" s="179" t="s">
        <v>645</v>
      </c>
      <c r="H4" s="183">
        <v>44589</v>
      </c>
      <c r="I4" s="178">
        <v>2022</v>
      </c>
      <c r="J4" s="179" t="s">
        <v>366</v>
      </c>
      <c r="K4" s="179" t="s">
        <v>29</v>
      </c>
      <c r="L4" s="180">
        <v>626400</v>
      </c>
      <c r="M4" s="252">
        <v>783000</v>
      </c>
      <c r="N4" s="191">
        <v>0</v>
      </c>
      <c r="O4" s="181">
        <v>2.4</v>
      </c>
      <c r="P4" s="182" t="s">
        <v>31</v>
      </c>
      <c r="Q4" s="182" t="s">
        <v>105</v>
      </c>
      <c r="R4" s="182" t="s">
        <v>591</v>
      </c>
      <c r="S4" s="182" t="s">
        <v>105</v>
      </c>
      <c r="T4" s="179" t="s">
        <v>201</v>
      </c>
      <c r="U4" s="233">
        <v>44126</v>
      </c>
      <c r="V4" s="364">
        <v>4</v>
      </c>
      <c r="W4" s="364" t="s">
        <v>826</v>
      </c>
      <c r="X4" s="184" t="s">
        <v>178</v>
      </c>
      <c r="Y4" s="184" t="s">
        <v>37</v>
      </c>
      <c r="Z4" s="184">
        <v>3</v>
      </c>
      <c r="AA4" s="184" t="s">
        <v>364</v>
      </c>
      <c r="AB4" s="179" t="s">
        <v>582</v>
      </c>
      <c r="AC4" s="184" t="s">
        <v>808</v>
      </c>
    </row>
    <row r="5" spans="1:29" s="162" customFormat="1" x14ac:dyDescent="0.3">
      <c r="A5" s="163" t="s">
        <v>202</v>
      </c>
      <c r="B5" s="163" t="s">
        <v>72</v>
      </c>
      <c r="C5" s="373">
        <f t="shared" si="0"/>
        <v>7</v>
      </c>
      <c r="D5" s="163" t="s">
        <v>73</v>
      </c>
      <c r="E5" s="163" t="s">
        <v>56</v>
      </c>
      <c r="F5" s="142" t="s">
        <v>822</v>
      </c>
      <c r="G5" s="179" t="s">
        <v>646</v>
      </c>
      <c r="H5" s="183">
        <v>44497</v>
      </c>
      <c r="I5" s="178">
        <v>2022</v>
      </c>
      <c r="J5" s="179" t="s">
        <v>69</v>
      </c>
      <c r="K5" s="179" t="s">
        <v>29</v>
      </c>
      <c r="L5" s="180">
        <v>192000</v>
      </c>
      <c r="M5" s="252">
        <v>240000</v>
      </c>
      <c r="N5" s="191">
        <v>0</v>
      </c>
      <c r="O5" s="181">
        <f>5068.540606/5280</f>
        <v>0.95995087234848475</v>
      </c>
      <c r="P5" s="182" t="s">
        <v>57</v>
      </c>
      <c r="Q5" s="182" t="s">
        <v>74</v>
      </c>
      <c r="R5" s="182" t="s">
        <v>591</v>
      </c>
      <c r="S5" s="182" t="s">
        <v>968</v>
      </c>
      <c r="T5" s="179" t="s">
        <v>75</v>
      </c>
      <c r="U5" s="233">
        <v>44063</v>
      </c>
      <c r="V5" s="364">
        <v>7</v>
      </c>
      <c r="W5" s="364" t="s">
        <v>888</v>
      </c>
      <c r="X5" s="184" t="s">
        <v>76</v>
      </c>
      <c r="Y5" s="184" t="s">
        <v>37</v>
      </c>
      <c r="Z5" s="184">
        <v>7</v>
      </c>
      <c r="AA5" s="184" t="s">
        <v>364</v>
      </c>
      <c r="AB5" s="184"/>
      <c r="AC5" s="184"/>
    </row>
    <row r="6" spans="1:29" s="162" customFormat="1" x14ac:dyDescent="0.3">
      <c r="A6" s="163" t="s">
        <v>71</v>
      </c>
      <c r="B6" s="163" t="s">
        <v>72</v>
      </c>
      <c r="C6" s="373">
        <f t="shared" si="0"/>
        <v>7</v>
      </c>
      <c r="D6" s="163" t="s">
        <v>73</v>
      </c>
      <c r="E6" s="163" t="s">
        <v>56</v>
      </c>
      <c r="F6" s="142" t="s">
        <v>822</v>
      </c>
      <c r="G6" s="179" t="s">
        <v>646</v>
      </c>
      <c r="H6" s="183">
        <v>44770</v>
      </c>
      <c r="I6" s="178">
        <v>2022</v>
      </c>
      <c r="J6" s="179" t="s">
        <v>69</v>
      </c>
      <c r="K6" s="179" t="s">
        <v>46</v>
      </c>
      <c r="L6" s="180">
        <v>48000</v>
      </c>
      <c r="M6" s="252">
        <v>60000</v>
      </c>
      <c r="N6" s="191">
        <v>0</v>
      </c>
      <c r="O6" s="191">
        <v>0</v>
      </c>
      <c r="P6" s="182" t="s">
        <v>57</v>
      </c>
      <c r="Q6" s="182" t="s">
        <v>74</v>
      </c>
      <c r="R6" s="182" t="s">
        <v>591</v>
      </c>
      <c r="S6" s="182" t="s">
        <v>968</v>
      </c>
      <c r="T6" s="179" t="s">
        <v>75</v>
      </c>
      <c r="U6" s="233">
        <v>44063</v>
      </c>
      <c r="V6" s="364">
        <v>7</v>
      </c>
      <c r="W6" s="364" t="s">
        <v>888</v>
      </c>
      <c r="X6" s="184" t="s">
        <v>76</v>
      </c>
      <c r="Y6" s="184" t="s">
        <v>37</v>
      </c>
      <c r="Z6" s="184">
        <v>7</v>
      </c>
      <c r="AA6" s="184" t="s">
        <v>364</v>
      </c>
      <c r="AB6" s="184"/>
      <c r="AC6" s="184"/>
    </row>
    <row r="7" spans="1:29" s="162" customFormat="1" ht="27.6" x14ac:dyDescent="0.3">
      <c r="A7" s="163" t="s">
        <v>224</v>
      </c>
      <c r="B7" s="163" t="s">
        <v>225</v>
      </c>
      <c r="C7" s="373">
        <f t="shared" si="0"/>
        <v>9</v>
      </c>
      <c r="D7" s="163" t="s">
        <v>226</v>
      </c>
      <c r="E7" s="163" t="s">
        <v>30</v>
      </c>
      <c r="F7" s="179" t="s">
        <v>819</v>
      </c>
      <c r="G7" s="264" t="s">
        <v>376</v>
      </c>
      <c r="H7" s="183">
        <v>45288</v>
      </c>
      <c r="I7" s="178">
        <v>2024</v>
      </c>
      <c r="J7" s="179" t="s">
        <v>28</v>
      </c>
      <c r="K7" s="179" t="s">
        <v>29</v>
      </c>
      <c r="L7" s="180">
        <v>1000000</v>
      </c>
      <c r="M7" s="252">
        <v>1250000</v>
      </c>
      <c r="N7" s="181">
        <v>158.30000000000001</v>
      </c>
      <c r="O7" s="186">
        <v>0.69</v>
      </c>
      <c r="P7" s="182" t="s">
        <v>31</v>
      </c>
      <c r="Q7" s="182" t="s">
        <v>105</v>
      </c>
      <c r="R7" s="182" t="s">
        <v>591</v>
      </c>
      <c r="S7" s="182" t="s">
        <v>105</v>
      </c>
      <c r="T7" s="179" t="s">
        <v>652</v>
      </c>
      <c r="U7" s="233">
        <v>44000</v>
      </c>
      <c r="V7" s="364">
        <v>9</v>
      </c>
      <c r="W7" s="364" t="s">
        <v>893</v>
      </c>
      <c r="X7" s="184" t="s">
        <v>227</v>
      </c>
      <c r="Y7" s="187" t="s">
        <v>197</v>
      </c>
      <c r="Z7" s="184">
        <v>28</v>
      </c>
      <c r="AA7" s="184" t="s">
        <v>364</v>
      </c>
      <c r="AB7" s="184"/>
      <c r="AC7" s="184"/>
    </row>
    <row r="8" spans="1:29" s="162" customFormat="1" ht="27.6" x14ac:dyDescent="0.3">
      <c r="A8" s="163" t="s">
        <v>211</v>
      </c>
      <c r="B8" s="163" t="s">
        <v>212</v>
      </c>
      <c r="C8" s="373">
        <f t="shared" si="0"/>
        <v>14</v>
      </c>
      <c r="D8" s="163" t="s">
        <v>213</v>
      </c>
      <c r="E8" s="163" t="s">
        <v>56</v>
      </c>
      <c r="F8" s="179" t="s">
        <v>647</v>
      </c>
      <c r="G8" s="179" t="s">
        <v>648</v>
      </c>
      <c r="H8" s="183">
        <v>44679</v>
      </c>
      <c r="I8" s="178">
        <v>2022</v>
      </c>
      <c r="J8" s="179" t="s">
        <v>55</v>
      </c>
      <c r="K8" s="179" t="s">
        <v>29</v>
      </c>
      <c r="L8" s="180">
        <v>73600</v>
      </c>
      <c r="M8" s="252">
        <v>92000</v>
      </c>
      <c r="N8" s="191">
        <v>0</v>
      </c>
      <c r="O8" s="186">
        <f>900/5280</f>
        <v>0.17045454545454544</v>
      </c>
      <c r="P8" s="182" t="s">
        <v>57</v>
      </c>
      <c r="Q8" s="182" t="s">
        <v>81</v>
      </c>
      <c r="R8" s="182" t="s">
        <v>591</v>
      </c>
      <c r="S8" s="182" t="s">
        <v>968</v>
      </c>
      <c r="T8" s="179" t="s">
        <v>653</v>
      </c>
      <c r="U8" s="233">
        <v>43934</v>
      </c>
      <c r="V8" s="364">
        <v>14</v>
      </c>
      <c r="W8" s="364" t="s">
        <v>894</v>
      </c>
      <c r="X8" s="184" t="s">
        <v>214</v>
      </c>
      <c r="Y8" s="187" t="s">
        <v>579</v>
      </c>
      <c r="Z8" s="184">
        <v>18</v>
      </c>
      <c r="AA8" s="184" t="s">
        <v>364</v>
      </c>
      <c r="AB8" s="184"/>
      <c r="AC8" s="184"/>
    </row>
    <row r="9" spans="1:29" s="162" customFormat="1" ht="41.4" x14ac:dyDescent="0.3">
      <c r="A9" s="163" t="s">
        <v>396</v>
      </c>
      <c r="B9" s="163" t="s">
        <v>397</v>
      </c>
      <c r="C9" s="373">
        <f t="shared" si="0"/>
        <v>15</v>
      </c>
      <c r="D9" s="163" t="s">
        <v>306</v>
      </c>
      <c r="E9" s="163" t="s">
        <v>143</v>
      </c>
      <c r="F9" s="179" t="s">
        <v>614</v>
      </c>
      <c r="G9" s="179" t="s">
        <v>615</v>
      </c>
      <c r="H9" s="183">
        <v>44648</v>
      </c>
      <c r="I9" s="178">
        <v>2022</v>
      </c>
      <c r="J9" s="179" t="s">
        <v>28</v>
      </c>
      <c r="K9" s="179" t="s">
        <v>29</v>
      </c>
      <c r="L9" s="180">
        <v>384000</v>
      </c>
      <c r="M9" s="252">
        <v>4800000</v>
      </c>
      <c r="N9" s="186">
        <v>11.44</v>
      </c>
      <c r="O9" s="181">
        <v>0.4</v>
      </c>
      <c r="P9" s="182" t="s">
        <v>31</v>
      </c>
      <c r="Q9" s="182" t="s">
        <v>105</v>
      </c>
      <c r="R9" s="182" t="s">
        <v>591</v>
      </c>
      <c r="S9" s="182" t="s">
        <v>105</v>
      </c>
      <c r="T9" s="188" t="s">
        <v>631</v>
      </c>
      <c r="U9" s="233">
        <v>43934</v>
      </c>
      <c r="V9" s="364">
        <v>15</v>
      </c>
      <c r="W9" s="364" t="s">
        <v>895</v>
      </c>
      <c r="X9" s="238" t="s">
        <v>376</v>
      </c>
      <c r="Y9" s="184" t="s">
        <v>37</v>
      </c>
      <c r="Z9" s="184">
        <v>15</v>
      </c>
      <c r="AA9" s="235" t="s">
        <v>660</v>
      </c>
      <c r="AB9" s="354"/>
      <c r="AC9" s="353"/>
    </row>
    <row r="10" spans="1:29" s="162" customFormat="1" ht="27.6" x14ac:dyDescent="0.3">
      <c r="A10" s="163" t="s">
        <v>103</v>
      </c>
      <c r="B10" s="163" t="s">
        <v>104</v>
      </c>
      <c r="C10" s="373">
        <f t="shared" si="0"/>
        <v>17</v>
      </c>
      <c r="D10" s="163" t="s">
        <v>649</v>
      </c>
      <c r="E10" s="163" t="s">
        <v>30</v>
      </c>
      <c r="F10" s="179" t="s">
        <v>810</v>
      </c>
      <c r="G10" s="179" t="s">
        <v>811</v>
      </c>
      <c r="H10" s="183">
        <v>45227</v>
      </c>
      <c r="I10" s="178">
        <v>2024</v>
      </c>
      <c r="J10" s="179" t="s">
        <v>404</v>
      </c>
      <c r="K10" s="179" t="s">
        <v>29</v>
      </c>
      <c r="L10" s="236">
        <v>0</v>
      </c>
      <c r="M10" s="252">
        <v>66000000</v>
      </c>
      <c r="N10" s="181">
        <v>154.5</v>
      </c>
      <c r="O10" s="181">
        <v>0.8</v>
      </c>
      <c r="P10" s="182" t="s">
        <v>31</v>
      </c>
      <c r="Q10" s="182" t="s">
        <v>116</v>
      </c>
      <c r="R10" s="182" t="s">
        <v>591</v>
      </c>
      <c r="S10" s="182" t="s">
        <v>116</v>
      </c>
      <c r="T10" s="188" t="s">
        <v>650</v>
      </c>
      <c r="U10" s="233">
        <v>43292</v>
      </c>
      <c r="V10" s="365">
        <v>17</v>
      </c>
      <c r="W10" s="365" t="s">
        <v>896</v>
      </c>
      <c r="X10" s="184" t="s">
        <v>106</v>
      </c>
      <c r="Y10" s="187" t="s">
        <v>579</v>
      </c>
      <c r="Z10" s="184">
        <v>15</v>
      </c>
      <c r="AA10" s="234" t="s">
        <v>661</v>
      </c>
      <c r="AB10" s="234" t="s">
        <v>809</v>
      </c>
      <c r="AC10" s="354"/>
    </row>
    <row r="11" spans="1:29" s="162" customFormat="1" ht="55.2" x14ac:dyDescent="0.3">
      <c r="A11" s="163" t="s">
        <v>220</v>
      </c>
      <c r="B11" s="163" t="s">
        <v>369</v>
      </c>
      <c r="C11" s="373">
        <f t="shared" si="0"/>
        <v>18</v>
      </c>
      <c r="D11" s="163" t="s">
        <v>221</v>
      </c>
      <c r="E11" s="163" t="s">
        <v>195</v>
      </c>
      <c r="F11" s="179" t="s">
        <v>1062</v>
      </c>
      <c r="G11" s="179" t="s">
        <v>1063</v>
      </c>
      <c r="H11" s="183">
        <v>45593</v>
      </c>
      <c r="I11" s="178">
        <v>2025</v>
      </c>
      <c r="J11" s="179" t="s">
        <v>391</v>
      </c>
      <c r="K11" s="179" t="s">
        <v>29</v>
      </c>
      <c r="L11" s="236">
        <v>0</v>
      </c>
      <c r="M11" s="252">
        <v>16000000</v>
      </c>
      <c r="N11" s="186">
        <v>0.67</v>
      </c>
      <c r="O11" s="186">
        <v>1.08</v>
      </c>
      <c r="P11" s="182" t="s">
        <v>31</v>
      </c>
      <c r="Q11" s="182" t="s">
        <v>105</v>
      </c>
      <c r="R11" s="182" t="s">
        <v>591</v>
      </c>
      <c r="S11" s="182" t="s">
        <v>105</v>
      </c>
      <c r="T11" s="188" t="s">
        <v>630</v>
      </c>
      <c r="U11" s="233">
        <v>43185</v>
      </c>
      <c r="V11" s="364">
        <v>18</v>
      </c>
      <c r="W11" s="364" t="s">
        <v>886</v>
      </c>
      <c r="X11" s="187" t="s">
        <v>222</v>
      </c>
      <c r="Y11" s="184" t="s">
        <v>37</v>
      </c>
      <c r="Z11" s="184">
        <v>18</v>
      </c>
      <c r="AA11" s="234" t="s">
        <v>663</v>
      </c>
      <c r="AB11" s="234" t="s">
        <v>628</v>
      </c>
      <c r="AC11" s="234" t="s">
        <v>662</v>
      </c>
    </row>
    <row r="12" spans="1:29" s="162" customFormat="1" x14ac:dyDescent="0.3">
      <c r="A12" s="163" t="s">
        <v>370</v>
      </c>
      <c r="B12" s="163" t="s">
        <v>369</v>
      </c>
      <c r="C12" s="373">
        <f t="shared" si="0"/>
        <v>18</v>
      </c>
      <c r="D12" s="163" t="s">
        <v>221</v>
      </c>
      <c r="E12" s="163" t="s">
        <v>195</v>
      </c>
      <c r="F12" s="264" t="s">
        <v>376</v>
      </c>
      <c r="G12" s="264" t="s">
        <v>376</v>
      </c>
      <c r="H12" s="183">
        <v>45227</v>
      </c>
      <c r="I12" s="178">
        <v>2024</v>
      </c>
      <c r="J12" s="179" t="s">
        <v>366</v>
      </c>
      <c r="K12" s="179" t="s">
        <v>114</v>
      </c>
      <c r="L12" s="180">
        <v>3000000</v>
      </c>
      <c r="M12" s="252">
        <v>3000000</v>
      </c>
      <c r="N12" s="186">
        <v>0.67</v>
      </c>
      <c r="O12" s="186">
        <v>1.08</v>
      </c>
      <c r="P12" s="182" t="s">
        <v>31</v>
      </c>
      <c r="Q12" s="182" t="s">
        <v>105</v>
      </c>
      <c r="R12" s="182" t="s">
        <v>591</v>
      </c>
      <c r="S12" s="182" t="s">
        <v>105</v>
      </c>
      <c r="T12" s="179" t="s">
        <v>129</v>
      </c>
      <c r="U12" s="233">
        <v>43185</v>
      </c>
      <c r="V12" s="364">
        <v>18</v>
      </c>
      <c r="W12" s="364" t="s">
        <v>886</v>
      </c>
      <c r="X12" s="184" t="s">
        <v>196</v>
      </c>
      <c r="Y12" s="184" t="s">
        <v>197</v>
      </c>
      <c r="Z12" s="184">
        <v>18</v>
      </c>
      <c r="AA12" s="237" t="s">
        <v>376</v>
      </c>
      <c r="AB12" s="237" t="s">
        <v>376</v>
      </c>
      <c r="AC12" s="237"/>
    </row>
    <row r="13" spans="1:29" s="162" customFormat="1" ht="55.2" x14ac:dyDescent="0.3">
      <c r="A13" s="179" t="s">
        <v>371</v>
      </c>
      <c r="B13" s="163" t="s">
        <v>127</v>
      </c>
      <c r="C13" s="373">
        <f t="shared" si="0"/>
        <v>19</v>
      </c>
      <c r="D13" s="179" t="s">
        <v>1024</v>
      </c>
      <c r="E13" s="163" t="s">
        <v>128</v>
      </c>
      <c r="F13" s="179" t="s">
        <v>536</v>
      </c>
      <c r="G13" s="188" t="s">
        <v>475</v>
      </c>
      <c r="H13" s="183">
        <v>44862</v>
      </c>
      <c r="I13" s="178">
        <v>2022</v>
      </c>
      <c r="J13" s="179" t="s">
        <v>366</v>
      </c>
      <c r="K13" s="179" t="s">
        <v>29</v>
      </c>
      <c r="L13" s="180">
        <v>12000000</v>
      </c>
      <c r="M13" s="252">
        <v>12000000</v>
      </c>
      <c r="N13" s="186">
        <v>1.86</v>
      </c>
      <c r="O13" s="186">
        <f>9625.311024/5280</f>
        <v>1.8229755727272727</v>
      </c>
      <c r="P13" s="182" t="s">
        <v>31</v>
      </c>
      <c r="Q13" s="182" t="s">
        <v>105</v>
      </c>
      <c r="R13" s="182" t="s">
        <v>591</v>
      </c>
      <c r="S13" s="182" t="s">
        <v>105</v>
      </c>
      <c r="T13" s="188" t="s">
        <v>627</v>
      </c>
      <c r="U13" s="233">
        <v>43185</v>
      </c>
      <c r="V13" s="335">
        <v>19</v>
      </c>
      <c r="W13" s="335" t="s">
        <v>889</v>
      </c>
      <c r="X13" s="184" t="s">
        <v>186</v>
      </c>
      <c r="Y13" s="184" t="s">
        <v>37</v>
      </c>
      <c r="Z13" s="184">
        <v>23</v>
      </c>
      <c r="AA13" s="234" t="s">
        <v>622</v>
      </c>
      <c r="AB13" s="234" t="s">
        <v>628</v>
      </c>
      <c r="AC13" s="354"/>
    </row>
    <row r="14" spans="1:29" s="162" customFormat="1" ht="27.6" x14ac:dyDescent="0.3">
      <c r="A14" s="163" t="s">
        <v>215</v>
      </c>
      <c r="B14" s="163" t="s">
        <v>216</v>
      </c>
      <c r="C14" s="373">
        <f t="shared" si="0"/>
        <v>20</v>
      </c>
      <c r="D14" s="163" t="s">
        <v>217</v>
      </c>
      <c r="E14" s="163" t="s">
        <v>56</v>
      </c>
      <c r="F14" s="179" t="s">
        <v>475</v>
      </c>
      <c r="G14" s="179" t="s">
        <v>812</v>
      </c>
      <c r="H14" s="183">
        <v>44740</v>
      </c>
      <c r="I14" s="178">
        <v>2022</v>
      </c>
      <c r="J14" s="179" t="s">
        <v>69</v>
      </c>
      <c r="K14" s="179" t="s">
        <v>29</v>
      </c>
      <c r="L14" s="180">
        <v>300000</v>
      </c>
      <c r="M14" s="252">
        <v>375000</v>
      </c>
      <c r="N14" s="191">
        <v>0</v>
      </c>
      <c r="O14" s="191">
        <v>0</v>
      </c>
      <c r="P14" s="182" t="s">
        <v>57</v>
      </c>
      <c r="Q14" s="182" t="s">
        <v>81</v>
      </c>
      <c r="R14" s="182" t="s">
        <v>591</v>
      </c>
      <c r="S14" s="182" t="s">
        <v>968</v>
      </c>
      <c r="T14" s="179" t="s">
        <v>218</v>
      </c>
      <c r="U14" s="233">
        <v>42823</v>
      </c>
      <c r="V14" s="364">
        <v>20</v>
      </c>
      <c r="W14" s="364" t="s">
        <v>890</v>
      </c>
      <c r="X14" s="184" t="s">
        <v>219</v>
      </c>
      <c r="Y14" s="184" t="s">
        <v>37</v>
      </c>
      <c r="Z14" s="184">
        <v>10</v>
      </c>
      <c r="AA14" s="184" t="s">
        <v>364</v>
      </c>
      <c r="AB14" s="184"/>
      <c r="AC14" s="184"/>
    </row>
    <row r="15" spans="1:29" s="162" customFormat="1" ht="27.6" x14ac:dyDescent="0.3">
      <c r="A15" s="163" t="s">
        <v>120</v>
      </c>
      <c r="B15" s="163" t="s">
        <v>121</v>
      </c>
      <c r="C15" s="373">
        <f t="shared" si="0"/>
        <v>21</v>
      </c>
      <c r="D15" s="163" t="s">
        <v>122</v>
      </c>
      <c r="E15" s="163" t="s">
        <v>124</v>
      </c>
      <c r="F15" s="179" t="s">
        <v>814</v>
      </c>
      <c r="G15" s="179" t="s">
        <v>815</v>
      </c>
      <c r="H15" s="183">
        <v>44862</v>
      </c>
      <c r="I15" s="178">
        <v>2023</v>
      </c>
      <c r="J15" s="179" t="s">
        <v>123</v>
      </c>
      <c r="K15" s="179" t="s">
        <v>29</v>
      </c>
      <c r="L15" s="180">
        <v>150000</v>
      </c>
      <c r="M15" s="252">
        <v>150000</v>
      </c>
      <c r="N15" s="186">
        <v>1.02</v>
      </c>
      <c r="O15" s="181">
        <v>0.2</v>
      </c>
      <c r="P15" s="182" t="s">
        <v>31</v>
      </c>
      <c r="Q15" s="182" t="s">
        <v>105</v>
      </c>
      <c r="R15" s="182" t="s">
        <v>591</v>
      </c>
      <c r="S15" s="182" t="s">
        <v>105</v>
      </c>
      <c r="T15" s="179" t="s">
        <v>125</v>
      </c>
      <c r="U15" s="233">
        <v>42272</v>
      </c>
      <c r="V15" s="364">
        <v>21</v>
      </c>
      <c r="W15" s="364" t="s">
        <v>897</v>
      </c>
      <c r="X15" s="184" t="s">
        <v>126</v>
      </c>
      <c r="Y15" s="187" t="s">
        <v>197</v>
      </c>
      <c r="Z15" s="184">
        <v>8</v>
      </c>
      <c r="AA15" s="184" t="s">
        <v>364</v>
      </c>
      <c r="AB15" s="184"/>
      <c r="AC15" s="184"/>
    </row>
    <row r="16" spans="1:29" s="162" customFormat="1" ht="27.6" x14ac:dyDescent="0.3">
      <c r="A16" s="163" t="s">
        <v>184</v>
      </c>
      <c r="B16" s="163" t="s">
        <v>112</v>
      </c>
      <c r="C16" s="373">
        <f t="shared" si="0"/>
        <v>22</v>
      </c>
      <c r="D16" s="163" t="s">
        <v>113</v>
      </c>
      <c r="E16" s="163" t="s">
        <v>115</v>
      </c>
      <c r="F16" s="264" t="s">
        <v>820</v>
      </c>
      <c r="G16" s="264" t="s">
        <v>821</v>
      </c>
      <c r="H16" s="183">
        <v>45135</v>
      </c>
      <c r="I16" s="178">
        <v>2023</v>
      </c>
      <c r="J16" s="179" t="s">
        <v>45</v>
      </c>
      <c r="K16" s="179" t="s">
        <v>29</v>
      </c>
      <c r="L16" s="180">
        <v>380000</v>
      </c>
      <c r="M16" s="252">
        <v>475000</v>
      </c>
      <c r="N16" s="181">
        <v>36.200000000000003</v>
      </c>
      <c r="O16" s="181">
        <v>0.4</v>
      </c>
      <c r="P16" s="182" t="s">
        <v>31</v>
      </c>
      <c r="Q16" s="182" t="s">
        <v>105</v>
      </c>
      <c r="R16" s="182" t="s">
        <v>591</v>
      </c>
      <c r="S16" s="182" t="s">
        <v>105</v>
      </c>
      <c r="T16" s="179" t="s">
        <v>813</v>
      </c>
      <c r="U16" s="233">
        <v>42272</v>
      </c>
      <c r="V16" s="364">
        <v>22</v>
      </c>
      <c r="W16" s="364" t="s">
        <v>898</v>
      </c>
      <c r="X16" s="184" t="s">
        <v>119</v>
      </c>
      <c r="Y16" s="184" t="s">
        <v>37</v>
      </c>
      <c r="Z16" s="184">
        <v>22</v>
      </c>
      <c r="AA16" s="189" t="s">
        <v>665</v>
      </c>
      <c r="AB16" s="208"/>
      <c r="AC16" s="189"/>
    </row>
    <row r="17" spans="1:29" s="162" customFormat="1" x14ac:dyDescent="0.3">
      <c r="A17" s="163" t="s">
        <v>111</v>
      </c>
      <c r="B17" s="163" t="s">
        <v>112</v>
      </c>
      <c r="C17" s="373">
        <f t="shared" si="0"/>
        <v>22</v>
      </c>
      <c r="D17" s="163" t="s">
        <v>113</v>
      </c>
      <c r="E17" s="163" t="s">
        <v>115</v>
      </c>
      <c r="F17" s="264" t="s">
        <v>376</v>
      </c>
      <c r="G17" s="264" t="s">
        <v>376</v>
      </c>
      <c r="H17" s="183">
        <v>44405</v>
      </c>
      <c r="I17" s="178">
        <v>2022</v>
      </c>
      <c r="J17" s="179" t="s">
        <v>45</v>
      </c>
      <c r="K17" s="179" t="s">
        <v>114</v>
      </c>
      <c r="L17" s="180">
        <v>12000</v>
      </c>
      <c r="M17" s="252">
        <v>15000</v>
      </c>
      <c r="N17" s="181">
        <v>36.200000000000003</v>
      </c>
      <c r="O17" s="181">
        <v>0.4</v>
      </c>
      <c r="P17" s="182" t="s">
        <v>31</v>
      </c>
      <c r="Q17" s="182" t="s">
        <v>105</v>
      </c>
      <c r="R17" s="182" t="s">
        <v>591</v>
      </c>
      <c r="S17" s="182" t="s">
        <v>105</v>
      </c>
      <c r="T17" s="179" t="s">
        <v>813</v>
      </c>
      <c r="U17" s="233">
        <v>42272</v>
      </c>
      <c r="V17" s="364">
        <v>22</v>
      </c>
      <c r="W17" s="364" t="s">
        <v>898</v>
      </c>
      <c r="X17" s="184" t="s">
        <v>119</v>
      </c>
      <c r="Y17" s="184" t="s">
        <v>37</v>
      </c>
      <c r="Z17" s="184">
        <v>22</v>
      </c>
      <c r="AA17" s="189" t="s">
        <v>665</v>
      </c>
      <c r="AB17" s="208"/>
      <c r="AC17" s="189"/>
    </row>
    <row r="18" spans="1:29" s="162" customFormat="1" ht="55.2" x14ac:dyDescent="0.3">
      <c r="A18" s="179" t="s">
        <v>623</v>
      </c>
      <c r="B18" s="163" t="s">
        <v>185</v>
      </c>
      <c r="C18" s="373">
        <f t="shared" si="0"/>
        <v>23</v>
      </c>
      <c r="D18" s="163" t="s">
        <v>750</v>
      </c>
      <c r="E18" s="163" t="s">
        <v>128</v>
      </c>
      <c r="F18" s="179" t="s">
        <v>475</v>
      </c>
      <c r="G18" s="179" t="s">
        <v>624</v>
      </c>
      <c r="H18" s="183">
        <v>45166</v>
      </c>
      <c r="I18" s="178">
        <v>2023</v>
      </c>
      <c r="J18" s="179" t="s">
        <v>123</v>
      </c>
      <c r="K18" s="179" t="s">
        <v>29</v>
      </c>
      <c r="L18" s="180">
        <v>2400000</v>
      </c>
      <c r="M18" s="252">
        <v>2400000</v>
      </c>
      <c r="N18" s="191">
        <v>0</v>
      </c>
      <c r="O18" s="186">
        <f>4546.730414/5280</f>
        <v>0.86112318446969693</v>
      </c>
      <c r="P18" s="182" t="s">
        <v>31</v>
      </c>
      <c r="Q18" s="182" t="s">
        <v>105</v>
      </c>
      <c r="R18" s="182" t="s">
        <v>591</v>
      </c>
      <c r="S18" s="182" t="s">
        <v>105</v>
      </c>
      <c r="T18" s="188" t="s">
        <v>629</v>
      </c>
      <c r="U18" s="233">
        <v>42272</v>
      </c>
      <c r="V18" s="364">
        <v>23</v>
      </c>
      <c r="W18" s="364" t="s">
        <v>899</v>
      </c>
      <c r="X18" s="184" t="s">
        <v>131</v>
      </c>
      <c r="Y18" s="184" t="s">
        <v>37</v>
      </c>
      <c r="Z18" s="184">
        <v>19</v>
      </c>
      <c r="AA18" s="234" t="s">
        <v>622</v>
      </c>
      <c r="AB18" s="234" t="s">
        <v>628</v>
      </c>
      <c r="AC18" s="234" t="s">
        <v>664</v>
      </c>
    </row>
    <row r="19" spans="1:29" s="162" customFormat="1" ht="27.6" x14ac:dyDescent="0.3">
      <c r="A19" s="163" t="s">
        <v>179</v>
      </c>
      <c r="B19" s="163" t="s">
        <v>180</v>
      </c>
      <c r="C19" s="373">
        <f t="shared" si="0"/>
        <v>24</v>
      </c>
      <c r="D19" s="163" t="s">
        <v>181</v>
      </c>
      <c r="E19" s="163" t="s">
        <v>80</v>
      </c>
      <c r="F19" s="179" t="s">
        <v>614</v>
      </c>
      <c r="G19" s="179" t="s">
        <v>643</v>
      </c>
      <c r="H19" s="183">
        <v>44679</v>
      </c>
      <c r="I19" s="178">
        <v>2022</v>
      </c>
      <c r="J19" s="179" t="s">
        <v>69</v>
      </c>
      <c r="K19" s="179" t="s">
        <v>29</v>
      </c>
      <c r="L19" s="180">
        <v>238000</v>
      </c>
      <c r="M19" s="252">
        <v>297500</v>
      </c>
      <c r="N19" s="191">
        <v>0</v>
      </c>
      <c r="O19" s="191">
        <v>0</v>
      </c>
      <c r="P19" s="182" t="s">
        <v>31</v>
      </c>
      <c r="Q19" s="182" t="s">
        <v>105</v>
      </c>
      <c r="R19" s="182" t="s">
        <v>591</v>
      </c>
      <c r="S19" s="182" t="s">
        <v>105</v>
      </c>
      <c r="T19" s="179" t="s">
        <v>182</v>
      </c>
      <c r="U19" s="233">
        <v>42242</v>
      </c>
      <c r="V19" s="364">
        <v>24</v>
      </c>
      <c r="W19" s="364" t="s">
        <v>891</v>
      </c>
      <c r="X19" s="184" t="s">
        <v>183</v>
      </c>
      <c r="Y19" s="184" t="s">
        <v>37</v>
      </c>
      <c r="Z19" s="184">
        <v>5</v>
      </c>
      <c r="AA19" s="184" t="s">
        <v>364</v>
      </c>
      <c r="AB19" s="184"/>
      <c r="AC19" s="184"/>
    </row>
    <row r="20" spans="1:29" s="162" customFormat="1" x14ac:dyDescent="0.3">
      <c r="A20" s="163" t="s">
        <v>207</v>
      </c>
      <c r="B20" s="163" t="s">
        <v>208</v>
      </c>
      <c r="C20" s="373">
        <f t="shared" si="0"/>
        <v>26</v>
      </c>
      <c r="D20" s="163" t="s">
        <v>209</v>
      </c>
      <c r="E20" s="163" t="s">
        <v>80</v>
      </c>
      <c r="F20" s="179" t="s">
        <v>816</v>
      </c>
      <c r="G20" s="142" t="s">
        <v>823</v>
      </c>
      <c r="H20" s="183">
        <v>44528</v>
      </c>
      <c r="I20" s="178">
        <v>2022</v>
      </c>
      <c r="J20" s="179" t="s">
        <v>55</v>
      </c>
      <c r="K20" s="179" t="s">
        <v>29</v>
      </c>
      <c r="L20" s="180">
        <v>24256</v>
      </c>
      <c r="M20" s="252">
        <v>30320</v>
      </c>
      <c r="N20" s="191">
        <v>0</v>
      </c>
      <c r="O20" s="191">
        <v>0</v>
      </c>
      <c r="P20" s="182" t="s">
        <v>57</v>
      </c>
      <c r="Q20" s="182" t="s">
        <v>81</v>
      </c>
      <c r="R20" s="182" t="s">
        <v>591</v>
      </c>
      <c r="S20" s="182" t="s">
        <v>968</v>
      </c>
      <c r="T20" s="179" t="s">
        <v>1410</v>
      </c>
      <c r="U20" s="233">
        <v>42242</v>
      </c>
      <c r="V20" s="364">
        <v>26</v>
      </c>
      <c r="W20" s="364" t="s">
        <v>900</v>
      </c>
      <c r="X20" s="184" t="s">
        <v>210</v>
      </c>
      <c r="Y20" s="184" t="s">
        <v>37</v>
      </c>
      <c r="Z20" s="184">
        <v>4</v>
      </c>
      <c r="AA20" s="184" t="s">
        <v>364</v>
      </c>
      <c r="AB20" s="189" t="s">
        <v>654</v>
      </c>
      <c r="AC20" s="184"/>
    </row>
    <row r="21" spans="1:29" s="162" customFormat="1" ht="55.2" x14ac:dyDescent="0.3">
      <c r="A21" s="179" t="s">
        <v>632</v>
      </c>
      <c r="B21" s="163" t="s">
        <v>633</v>
      </c>
      <c r="C21" s="373">
        <f t="shared" si="0"/>
        <v>27</v>
      </c>
      <c r="D21" s="163" t="s">
        <v>625</v>
      </c>
      <c r="E21" s="163" t="s">
        <v>135</v>
      </c>
      <c r="F21" s="179" t="s">
        <v>651</v>
      </c>
      <c r="G21" s="179" t="s">
        <v>626</v>
      </c>
      <c r="H21" s="183">
        <v>44985</v>
      </c>
      <c r="I21" s="178">
        <v>2023</v>
      </c>
      <c r="J21" s="179" t="s">
        <v>366</v>
      </c>
      <c r="K21" s="179" t="s">
        <v>29</v>
      </c>
      <c r="L21" s="180">
        <v>8500000</v>
      </c>
      <c r="M21" s="252">
        <v>8500000</v>
      </c>
      <c r="N21" s="191">
        <v>0</v>
      </c>
      <c r="O21" s="186">
        <v>0.94</v>
      </c>
      <c r="P21" s="182" t="s">
        <v>31</v>
      </c>
      <c r="Q21" s="182" t="s">
        <v>105</v>
      </c>
      <c r="R21" s="182" t="s">
        <v>591</v>
      </c>
      <c r="S21" s="182" t="s">
        <v>105</v>
      </c>
      <c r="T21" s="179" t="s">
        <v>636</v>
      </c>
      <c r="U21" s="233">
        <v>44217</v>
      </c>
      <c r="V21" s="364">
        <v>27</v>
      </c>
      <c r="W21" s="364" t="s">
        <v>892</v>
      </c>
      <c r="X21" s="184" t="s">
        <v>320</v>
      </c>
      <c r="Y21" s="184" t="s">
        <v>37</v>
      </c>
      <c r="Z21" s="184">
        <v>27</v>
      </c>
      <c r="AA21" s="237" t="s">
        <v>635</v>
      </c>
      <c r="AB21" s="234" t="s">
        <v>634</v>
      </c>
      <c r="AC21" s="237"/>
    </row>
    <row r="22" spans="1:29" s="162" customFormat="1" x14ac:dyDescent="0.3">
      <c r="A22" s="163" t="s">
        <v>424</v>
      </c>
      <c r="B22" s="163" t="s">
        <v>425</v>
      </c>
      <c r="C22" s="373">
        <f t="shared" si="0"/>
        <v>30</v>
      </c>
      <c r="D22" s="163" t="s">
        <v>426</v>
      </c>
      <c r="E22" s="163" t="s">
        <v>427</v>
      </c>
      <c r="F22" s="179" t="s">
        <v>817</v>
      </c>
      <c r="G22" s="264" t="s">
        <v>376</v>
      </c>
      <c r="H22" s="183">
        <v>44528</v>
      </c>
      <c r="I22" s="178">
        <v>2022</v>
      </c>
      <c r="J22" s="179" t="s">
        <v>123</v>
      </c>
      <c r="K22" s="179" t="s">
        <v>29</v>
      </c>
      <c r="L22" s="180">
        <v>150000</v>
      </c>
      <c r="M22" s="252">
        <v>150000</v>
      </c>
      <c r="N22" s="191">
        <v>0</v>
      </c>
      <c r="O22" s="186">
        <v>0.18</v>
      </c>
      <c r="P22" s="182" t="s">
        <v>57</v>
      </c>
      <c r="Q22" s="182" t="s">
        <v>49</v>
      </c>
      <c r="R22" s="182" t="s">
        <v>591</v>
      </c>
      <c r="S22" s="182" t="s">
        <v>968</v>
      </c>
      <c r="T22" s="179" t="s">
        <v>428</v>
      </c>
      <c r="U22" s="190" t="s">
        <v>403</v>
      </c>
      <c r="V22" s="364">
        <v>30</v>
      </c>
      <c r="W22" s="364" t="s">
        <v>901</v>
      </c>
      <c r="X22" s="238" t="s">
        <v>376</v>
      </c>
      <c r="Y22" s="184" t="s">
        <v>197</v>
      </c>
      <c r="Z22" s="184">
        <v>30</v>
      </c>
      <c r="AA22" s="184" t="s">
        <v>364</v>
      </c>
      <c r="AB22" s="184"/>
      <c r="AC22" s="184"/>
    </row>
    <row r="23" spans="1:29" s="162" customFormat="1" x14ac:dyDescent="0.3">
      <c r="A23" s="163" t="s">
        <v>153</v>
      </c>
      <c r="B23" s="163" t="s">
        <v>154</v>
      </c>
      <c r="C23" s="373">
        <f t="shared" si="0"/>
        <v>31</v>
      </c>
      <c r="D23" s="163" t="s">
        <v>155</v>
      </c>
      <c r="E23" s="163" t="s">
        <v>56</v>
      </c>
      <c r="F23" s="179" t="s">
        <v>818</v>
      </c>
      <c r="G23" s="179" t="s">
        <v>816</v>
      </c>
      <c r="H23" s="183">
        <v>44405</v>
      </c>
      <c r="I23" s="178">
        <v>2022</v>
      </c>
      <c r="J23" s="179" t="s">
        <v>55</v>
      </c>
      <c r="K23" s="179" t="s">
        <v>46</v>
      </c>
      <c r="L23" s="180">
        <v>20000</v>
      </c>
      <c r="M23" s="252">
        <v>25000</v>
      </c>
      <c r="N23" s="191">
        <v>0</v>
      </c>
      <c r="O23" s="191">
        <v>0</v>
      </c>
      <c r="P23" s="182" t="s">
        <v>57</v>
      </c>
      <c r="Q23" s="182" t="s">
        <v>49</v>
      </c>
      <c r="R23" s="182" t="s">
        <v>591</v>
      </c>
      <c r="S23" s="182" t="s">
        <v>968</v>
      </c>
      <c r="T23" s="179" t="s">
        <v>156</v>
      </c>
      <c r="U23" s="233">
        <v>43663</v>
      </c>
      <c r="V23" s="364">
        <v>31</v>
      </c>
      <c r="W23" s="364" t="s">
        <v>902</v>
      </c>
      <c r="X23" s="238" t="s">
        <v>376</v>
      </c>
      <c r="Y23" s="184" t="s">
        <v>197</v>
      </c>
      <c r="Z23" s="184">
        <v>96</v>
      </c>
      <c r="AA23" s="184" t="s">
        <v>364</v>
      </c>
      <c r="AB23" s="184"/>
      <c r="AC23" s="184"/>
    </row>
    <row r="24" spans="1:29" s="162" customFormat="1" x14ac:dyDescent="0.3">
      <c r="A24" s="163" t="s">
        <v>198</v>
      </c>
      <c r="B24" s="163" t="s">
        <v>154</v>
      </c>
      <c r="C24" s="373">
        <f t="shared" si="0"/>
        <v>31</v>
      </c>
      <c r="D24" s="163" t="s">
        <v>155</v>
      </c>
      <c r="E24" s="163" t="s">
        <v>56</v>
      </c>
      <c r="F24" s="179" t="s">
        <v>818</v>
      </c>
      <c r="G24" s="179" t="s">
        <v>816</v>
      </c>
      <c r="H24" s="183">
        <v>45135</v>
      </c>
      <c r="I24" s="178">
        <v>2023</v>
      </c>
      <c r="J24" s="179" t="s">
        <v>55</v>
      </c>
      <c r="K24" s="179" t="s">
        <v>29</v>
      </c>
      <c r="L24" s="180">
        <v>100000</v>
      </c>
      <c r="M24" s="252">
        <v>125000</v>
      </c>
      <c r="N24" s="191">
        <v>0</v>
      </c>
      <c r="O24" s="191">
        <v>0</v>
      </c>
      <c r="P24" s="182" t="s">
        <v>57</v>
      </c>
      <c r="Q24" s="182" t="s">
        <v>49</v>
      </c>
      <c r="R24" s="182" t="s">
        <v>591</v>
      </c>
      <c r="S24" s="182" t="s">
        <v>968</v>
      </c>
      <c r="T24" s="179" t="s">
        <v>156</v>
      </c>
      <c r="U24" s="233">
        <v>43662</v>
      </c>
      <c r="V24" s="364">
        <v>31</v>
      </c>
      <c r="W24" s="364" t="s">
        <v>902</v>
      </c>
      <c r="X24" s="238" t="s">
        <v>376</v>
      </c>
      <c r="Y24" s="184" t="s">
        <v>197</v>
      </c>
      <c r="Z24" s="184">
        <v>96</v>
      </c>
      <c r="AA24" s="184" t="s">
        <v>364</v>
      </c>
      <c r="AB24" s="184"/>
      <c r="AC24" s="184"/>
    </row>
    <row r="25" spans="1:29" s="162" customFormat="1" x14ac:dyDescent="0.3">
      <c r="A25" s="163" t="s">
        <v>42</v>
      </c>
      <c r="B25" s="163" t="s">
        <v>43</v>
      </c>
      <c r="C25" s="373" t="str">
        <f t="shared" si="0"/>
        <v>--</v>
      </c>
      <c r="D25" s="163" t="s">
        <v>44</v>
      </c>
      <c r="E25" s="163" t="s">
        <v>47</v>
      </c>
      <c r="F25" s="264" t="s">
        <v>376</v>
      </c>
      <c r="G25" s="264" t="s">
        <v>376</v>
      </c>
      <c r="H25" s="183">
        <v>44497</v>
      </c>
      <c r="I25" s="178">
        <v>2022</v>
      </c>
      <c r="J25" s="179" t="s">
        <v>45</v>
      </c>
      <c r="K25" s="179" t="s">
        <v>46</v>
      </c>
      <c r="L25" s="180">
        <v>20000</v>
      </c>
      <c r="M25" s="252">
        <v>20000</v>
      </c>
      <c r="N25" s="191">
        <v>0</v>
      </c>
      <c r="O25" s="191">
        <v>0</v>
      </c>
      <c r="P25" s="182" t="s">
        <v>48</v>
      </c>
      <c r="Q25" s="182" t="s">
        <v>49</v>
      </c>
      <c r="R25" s="182" t="s">
        <v>591</v>
      </c>
      <c r="S25" s="182" t="s">
        <v>48</v>
      </c>
      <c r="T25" s="179" t="s">
        <v>50</v>
      </c>
      <c r="U25" s="233">
        <v>44126</v>
      </c>
      <c r="V25" s="363" t="s">
        <v>376</v>
      </c>
      <c r="W25" s="363" t="s">
        <v>376</v>
      </c>
      <c r="X25" s="184" t="s">
        <v>362</v>
      </c>
      <c r="Y25" s="238" t="s">
        <v>376</v>
      </c>
      <c r="Z25" s="238" t="s">
        <v>376</v>
      </c>
      <c r="AA25" s="184" t="s">
        <v>364</v>
      </c>
      <c r="AB25" s="184"/>
      <c r="AC25" s="184"/>
    </row>
    <row r="26" spans="1:29" s="162" customFormat="1" x14ac:dyDescent="0.3">
      <c r="A26" s="163" t="s">
        <v>405</v>
      </c>
      <c r="B26" s="163" t="s">
        <v>406</v>
      </c>
      <c r="C26" s="373" t="str">
        <f t="shared" si="0"/>
        <v>--</v>
      </c>
      <c r="D26" s="163" t="s">
        <v>407</v>
      </c>
      <c r="E26" s="163" t="s">
        <v>56</v>
      </c>
      <c r="F26" s="264" t="s">
        <v>376</v>
      </c>
      <c r="G26" s="264" t="s">
        <v>376</v>
      </c>
      <c r="H26" s="183">
        <v>45166</v>
      </c>
      <c r="I26" s="178">
        <v>2023</v>
      </c>
      <c r="J26" s="179" t="s">
        <v>55</v>
      </c>
      <c r="K26" s="179" t="s">
        <v>46</v>
      </c>
      <c r="L26" s="180">
        <v>48000</v>
      </c>
      <c r="M26" s="252">
        <v>60000</v>
      </c>
      <c r="N26" s="191">
        <v>0</v>
      </c>
      <c r="O26" s="191">
        <v>0</v>
      </c>
      <c r="P26" s="182" t="s">
        <v>57</v>
      </c>
      <c r="Q26" s="182" t="s">
        <v>49</v>
      </c>
      <c r="R26" s="182" t="s">
        <v>591</v>
      </c>
      <c r="S26" s="182" t="s">
        <v>968</v>
      </c>
      <c r="T26" s="179" t="s">
        <v>63</v>
      </c>
      <c r="U26" s="233">
        <v>43126</v>
      </c>
      <c r="V26" s="363" t="s">
        <v>376</v>
      </c>
      <c r="W26" s="363" t="s">
        <v>376</v>
      </c>
      <c r="X26" s="184" t="s">
        <v>362</v>
      </c>
      <c r="Y26" s="238" t="s">
        <v>376</v>
      </c>
      <c r="Z26" s="238" t="s">
        <v>376</v>
      </c>
      <c r="AA26" s="184" t="s">
        <v>364</v>
      </c>
      <c r="AB26" s="184"/>
      <c r="AC26" s="184"/>
    </row>
    <row r="27" spans="1:29" s="162" customFormat="1" ht="14.4" thickBot="1" x14ac:dyDescent="0.35">
      <c r="A27" s="210" t="s">
        <v>66</v>
      </c>
      <c r="B27" s="210" t="s">
        <v>67</v>
      </c>
      <c r="C27" s="374" t="str">
        <f t="shared" si="0"/>
        <v>--</v>
      </c>
      <c r="D27" s="210" t="s">
        <v>68</v>
      </c>
      <c r="E27" s="210" t="s">
        <v>56</v>
      </c>
      <c r="F27" s="352" t="s">
        <v>376</v>
      </c>
      <c r="G27" s="352" t="s">
        <v>376</v>
      </c>
      <c r="H27" s="216">
        <v>44405</v>
      </c>
      <c r="I27" s="211">
        <v>2022</v>
      </c>
      <c r="J27" s="212" t="s">
        <v>69</v>
      </c>
      <c r="K27" s="212" t="s">
        <v>29</v>
      </c>
      <c r="L27" s="213">
        <v>96000</v>
      </c>
      <c r="M27" s="268">
        <v>120000</v>
      </c>
      <c r="N27" s="269">
        <v>0</v>
      </c>
      <c r="O27" s="269">
        <v>0</v>
      </c>
      <c r="P27" s="209" t="s">
        <v>57</v>
      </c>
      <c r="Q27" s="209" t="s">
        <v>49</v>
      </c>
      <c r="R27" s="209" t="s">
        <v>591</v>
      </c>
      <c r="S27" s="209" t="s">
        <v>968</v>
      </c>
      <c r="T27" s="212" t="s">
        <v>70</v>
      </c>
      <c r="U27" s="270">
        <v>42242</v>
      </c>
      <c r="V27" s="366" t="s">
        <v>376</v>
      </c>
      <c r="W27" s="366" t="s">
        <v>376</v>
      </c>
      <c r="X27" s="217" t="s">
        <v>362</v>
      </c>
      <c r="Y27" s="336" t="s">
        <v>376</v>
      </c>
      <c r="Z27" s="336" t="s">
        <v>376</v>
      </c>
      <c r="AA27" s="217" t="s">
        <v>364</v>
      </c>
      <c r="AB27" s="217"/>
      <c r="AC27" s="217"/>
    </row>
    <row r="28" spans="1:29" s="162" customFormat="1" ht="27.6" x14ac:dyDescent="0.3">
      <c r="A28" s="290" t="s">
        <v>408</v>
      </c>
      <c r="B28" s="291" t="s">
        <v>409</v>
      </c>
      <c r="C28" s="375">
        <f t="shared" si="0"/>
        <v>28</v>
      </c>
      <c r="D28" s="291" t="s">
        <v>410</v>
      </c>
      <c r="E28" s="291" t="s">
        <v>411</v>
      </c>
      <c r="F28" s="291" t="s">
        <v>800</v>
      </c>
      <c r="G28" s="331" t="s">
        <v>376</v>
      </c>
      <c r="H28" s="292">
        <v>44497</v>
      </c>
      <c r="I28" s="293">
        <v>2022</v>
      </c>
      <c r="J28" s="294" t="s">
        <v>28</v>
      </c>
      <c r="K28" s="294" t="s">
        <v>114</v>
      </c>
      <c r="L28" s="295">
        <v>162900</v>
      </c>
      <c r="M28" s="337">
        <v>181000</v>
      </c>
      <c r="N28" s="297">
        <v>109.74</v>
      </c>
      <c r="O28" s="297">
        <v>50.26</v>
      </c>
      <c r="P28" s="298" t="s">
        <v>31</v>
      </c>
      <c r="Q28" s="298" t="s">
        <v>32</v>
      </c>
      <c r="R28" s="338" t="s">
        <v>592</v>
      </c>
      <c r="S28" s="338" t="s">
        <v>105</v>
      </c>
      <c r="T28" s="294" t="s">
        <v>412</v>
      </c>
      <c r="U28" s="339" t="s">
        <v>403</v>
      </c>
      <c r="V28" s="367">
        <v>28</v>
      </c>
      <c r="W28" s="367" t="s">
        <v>833</v>
      </c>
      <c r="X28" s="301" t="s">
        <v>376</v>
      </c>
      <c r="Y28" s="350" t="s">
        <v>579</v>
      </c>
      <c r="Z28" s="302">
        <v>28</v>
      </c>
      <c r="AA28" s="302" t="s">
        <v>364</v>
      </c>
      <c r="AB28" s="340"/>
      <c r="AC28" s="303"/>
    </row>
    <row r="29" spans="1:29" s="162" customFormat="1" ht="27.6" x14ac:dyDescent="0.3">
      <c r="A29" s="304" t="s">
        <v>420</v>
      </c>
      <c r="B29" s="305" t="s">
        <v>409</v>
      </c>
      <c r="C29" s="373">
        <f t="shared" si="0"/>
        <v>28</v>
      </c>
      <c r="D29" s="305" t="s">
        <v>410</v>
      </c>
      <c r="E29" s="305" t="s">
        <v>411</v>
      </c>
      <c r="F29" s="305" t="s">
        <v>800</v>
      </c>
      <c r="G29" s="332" t="s">
        <v>376</v>
      </c>
      <c r="H29" s="341">
        <v>44801</v>
      </c>
      <c r="I29" s="307">
        <v>2022</v>
      </c>
      <c r="J29" s="308" t="s">
        <v>415</v>
      </c>
      <c r="K29" s="308" t="s">
        <v>29</v>
      </c>
      <c r="L29" s="309">
        <v>34568000</v>
      </c>
      <c r="M29" s="342">
        <v>43210000</v>
      </c>
      <c r="N29" s="311">
        <v>109.74</v>
      </c>
      <c r="O29" s="311">
        <v>50.26</v>
      </c>
      <c r="P29" s="312" t="s">
        <v>31</v>
      </c>
      <c r="Q29" s="312" t="s">
        <v>32</v>
      </c>
      <c r="R29" s="343" t="s">
        <v>592</v>
      </c>
      <c r="S29" s="343" t="s">
        <v>105</v>
      </c>
      <c r="T29" s="308" t="s">
        <v>752</v>
      </c>
      <c r="U29" s="344" t="s">
        <v>403</v>
      </c>
      <c r="V29" s="368">
        <v>28</v>
      </c>
      <c r="W29" s="368" t="s">
        <v>833</v>
      </c>
      <c r="X29" s="330" t="s">
        <v>376</v>
      </c>
      <c r="Y29" s="351" t="s">
        <v>579</v>
      </c>
      <c r="Z29" s="315">
        <v>28</v>
      </c>
      <c r="AA29" s="315" t="s">
        <v>364</v>
      </c>
      <c r="AB29" s="315"/>
      <c r="AC29" s="316"/>
    </row>
    <row r="30" spans="1:29" s="162" customFormat="1" ht="27.6" x14ac:dyDescent="0.3">
      <c r="A30" s="304" t="s">
        <v>413</v>
      </c>
      <c r="B30" s="305" t="s">
        <v>414</v>
      </c>
      <c r="C30" s="373" t="str">
        <f t="shared" si="0"/>
        <v>--</v>
      </c>
      <c r="D30" s="305" t="s">
        <v>590</v>
      </c>
      <c r="E30" s="305" t="s">
        <v>411</v>
      </c>
      <c r="F30" s="308"/>
      <c r="G30" s="308"/>
      <c r="H30" s="341">
        <v>44740</v>
      </c>
      <c r="I30" s="307">
        <v>2022</v>
      </c>
      <c r="J30" s="308" t="s">
        <v>415</v>
      </c>
      <c r="K30" s="308" t="s">
        <v>29</v>
      </c>
      <c r="L30" s="309">
        <v>10896000</v>
      </c>
      <c r="M30" s="342">
        <v>13620000</v>
      </c>
      <c r="N30" s="311">
        <v>140.37</v>
      </c>
      <c r="O30" s="311">
        <v>19.63</v>
      </c>
      <c r="P30" s="312" t="s">
        <v>31</v>
      </c>
      <c r="Q30" s="312" t="s">
        <v>32</v>
      </c>
      <c r="R30" s="343" t="s">
        <v>592</v>
      </c>
      <c r="S30" s="343" t="s">
        <v>105</v>
      </c>
      <c r="T30" s="308" t="s">
        <v>751</v>
      </c>
      <c r="U30" s="344" t="s">
        <v>403</v>
      </c>
      <c r="V30" s="369" t="s">
        <v>376</v>
      </c>
      <c r="W30" s="369" t="s">
        <v>376</v>
      </c>
      <c r="X30" s="330" t="s">
        <v>376</v>
      </c>
      <c r="Y30" s="330" t="s">
        <v>376</v>
      </c>
      <c r="Z30" s="330" t="s">
        <v>376</v>
      </c>
      <c r="AA30" s="315" t="s">
        <v>364</v>
      </c>
      <c r="AB30" s="315"/>
      <c r="AC30" s="316"/>
    </row>
    <row r="31" spans="1:29" s="162" customFormat="1" ht="27.6" x14ac:dyDescent="0.3">
      <c r="A31" s="304" t="s">
        <v>416</v>
      </c>
      <c r="B31" s="305" t="s">
        <v>414</v>
      </c>
      <c r="C31" s="373" t="str">
        <f t="shared" si="0"/>
        <v>--</v>
      </c>
      <c r="D31" s="305" t="s">
        <v>590</v>
      </c>
      <c r="E31" s="305" t="s">
        <v>411</v>
      </c>
      <c r="F31" s="308"/>
      <c r="G31" s="308"/>
      <c r="H31" s="341">
        <v>44740</v>
      </c>
      <c r="I31" s="307">
        <v>2022</v>
      </c>
      <c r="J31" s="308" t="s">
        <v>28</v>
      </c>
      <c r="K31" s="308" t="s">
        <v>114</v>
      </c>
      <c r="L31" s="309">
        <v>48000</v>
      </c>
      <c r="M31" s="342">
        <v>48000</v>
      </c>
      <c r="N31" s="311">
        <v>140.37</v>
      </c>
      <c r="O31" s="311">
        <v>19.63</v>
      </c>
      <c r="P31" s="312" t="s">
        <v>31</v>
      </c>
      <c r="Q31" s="312" t="s">
        <v>32</v>
      </c>
      <c r="R31" s="343" t="s">
        <v>592</v>
      </c>
      <c r="S31" s="343" t="s">
        <v>105</v>
      </c>
      <c r="T31" s="308" t="s">
        <v>751</v>
      </c>
      <c r="U31" s="344" t="s">
        <v>403</v>
      </c>
      <c r="V31" s="369" t="s">
        <v>376</v>
      </c>
      <c r="W31" s="369" t="s">
        <v>376</v>
      </c>
      <c r="X31" s="330" t="s">
        <v>376</v>
      </c>
      <c r="Y31" s="330" t="s">
        <v>376</v>
      </c>
      <c r="Z31" s="330" t="s">
        <v>376</v>
      </c>
      <c r="AA31" s="315" t="s">
        <v>364</v>
      </c>
      <c r="AB31" s="315"/>
      <c r="AC31" s="316"/>
    </row>
    <row r="32" spans="1:29" s="162" customFormat="1" ht="28.2" thickBot="1" x14ac:dyDescent="0.35">
      <c r="A32" s="317" t="s">
        <v>413</v>
      </c>
      <c r="B32" s="318" t="s">
        <v>414</v>
      </c>
      <c r="C32" s="376" t="str">
        <f t="shared" si="0"/>
        <v>--</v>
      </c>
      <c r="D32" s="318" t="s">
        <v>417</v>
      </c>
      <c r="E32" s="318" t="s">
        <v>411</v>
      </c>
      <c r="F32" s="321"/>
      <c r="G32" s="321"/>
      <c r="H32" s="345">
        <v>44740</v>
      </c>
      <c r="I32" s="320">
        <v>2022</v>
      </c>
      <c r="J32" s="321" t="s">
        <v>418</v>
      </c>
      <c r="K32" s="321" t="s">
        <v>29</v>
      </c>
      <c r="L32" s="322">
        <v>20000000</v>
      </c>
      <c r="M32" s="346">
        <v>20000000</v>
      </c>
      <c r="N32" s="324">
        <v>140.37</v>
      </c>
      <c r="O32" s="324">
        <v>19.63</v>
      </c>
      <c r="P32" s="325" t="s">
        <v>31</v>
      </c>
      <c r="Q32" s="325" t="s">
        <v>32</v>
      </c>
      <c r="R32" s="347" t="s">
        <v>592</v>
      </c>
      <c r="S32" s="347" t="s">
        <v>105</v>
      </c>
      <c r="T32" s="321" t="s">
        <v>419</v>
      </c>
      <c r="U32" s="348" t="s">
        <v>403</v>
      </c>
      <c r="V32" s="370" t="s">
        <v>376</v>
      </c>
      <c r="W32" s="370" t="s">
        <v>376</v>
      </c>
      <c r="X32" s="349" t="s">
        <v>376</v>
      </c>
      <c r="Y32" s="349" t="s">
        <v>376</v>
      </c>
      <c r="Z32" s="349" t="s">
        <v>376</v>
      </c>
      <c r="AA32" s="328" t="s">
        <v>364</v>
      </c>
      <c r="AB32" s="328"/>
      <c r="AC32" s="329"/>
    </row>
    <row r="33" spans="1:29" s="162" customFormat="1" x14ac:dyDescent="0.3">
      <c r="A33" s="218" t="s">
        <v>434</v>
      </c>
      <c r="B33" s="218" t="s">
        <v>435</v>
      </c>
      <c r="C33" s="375" t="str">
        <f t="shared" si="0"/>
        <v>--</v>
      </c>
      <c r="D33" s="218" t="s">
        <v>436</v>
      </c>
      <c r="E33" s="218" t="s">
        <v>56</v>
      </c>
      <c r="F33" s="221"/>
      <c r="G33" s="221"/>
      <c r="H33" s="225">
        <v>44709</v>
      </c>
      <c r="I33" s="220">
        <v>2022</v>
      </c>
      <c r="J33" s="221" t="s">
        <v>437</v>
      </c>
      <c r="K33" s="221" t="s">
        <v>438</v>
      </c>
      <c r="L33" s="222">
        <v>264000</v>
      </c>
      <c r="M33" s="271">
        <v>330000</v>
      </c>
      <c r="N33" s="224">
        <v>0</v>
      </c>
      <c r="O33" s="224">
        <v>0</v>
      </c>
      <c r="P33" s="194" t="s">
        <v>31</v>
      </c>
      <c r="Q33" s="194" t="s">
        <v>573</v>
      </c>
      <c r="R33" s="194" t="s">
        <v>591</v>
      </c>
      <c r="S33" s="194"/>
      <c r="T33" s="221" t="s">
        <v>439</v>
      </c>
      <c r="U33" s="226" t="s">
        <v>403</v>
      </c>
      <c r="V33" s="371" t="s">
        <v>376</v>
      </c>
      <c r="W33" s="371" t="s">
        <v>376</v>
      </c>
      <c r="X33" s="289" t="s">
        <v>376</v>
      </c>
      <c r="Y33" s="289" t="s">
        <v>376</v>
      </c>
      <c r="Z33" s="227"/>
      <c r="AA33" s="227" t="s">
        <v>364</v>
      </c>
      <c r="AB33" s="227"/>
      <c r="AC33" s="227"/>
    </row>
    <row r="34" spans="1:29" s="162" customFormat="1" ht="14.4" thickBot="1" x14ac:dyDescent="0.35">
      <c r="C34" s="169"/>
      <c r="F34" s="265"/>
      <c r="G34" s="265"/>
      <c r="I34" s="168"/>
      <c r="J34" s="265"/>
      <c r="M34" s="253"/>
      <c r="P34" s="88"/>
      <c r="Q34" s="88"/>
      <c r="R34" s="88"/>
      <c r="S34" s="88"/>
      <c r="T34" s="170"/>
      <c r="U34" s="168"/>
      <c r="V34" s="372"/>
      <c r="W34" s="372"/>
      <c r="X34" s="171"/>
      <c r="Y34" s="171"/>
      <c r="Z34" s="172"/>
      <c r="AA34" s="172"/>
      <c r="AC34" s="172"/>
    </row>
    <row r="35" spans="1:29" ht="14.4" thickBot="1" x14ac:dyDescent="0.35">
      <c r="M35" s="254">
        <f>SUM(M2:M34)</f>
        <v>196333820</v>
      </c>
      <c r="Q35" s="106"/>
      <c r="R35" s="106"/>
      <c r="S35" s="106"/>
      <c r="T35" s="175"/>
    </row>
    <row r="36" spans="1:29" x14ac:dyDescent="0.3">
      <c r="Q36" s="106"/>
      <c r="R36" s="106"/>
      <c r="S36" s="106"/>
    </row>
    <row r="37" spans="1:29" x14ac:dyDescent="0.3">
      <c r="K37" s="239" t="s">
        <v>31</v>
      </c>
      <c r="M37" s="256">
        <v>119000000</v>
      </c>
      <c r="O37" s="240">
        <f>M37/SUM(M37:M38)</f>
        <v>0.53469147964633978</v>
      </c>
      <c r="T37" s="230"/>
    </row>
    <row r="38" spans="1:29" x14ac:dyDescent="0.3">
      <c r="K38" s="241" t="s">
        <v>232</v>
      </c>
      <c r="M38" s="257">
        <f>Maintenance!M32</f>
        <v>103558250</v>
      </c>
      <c r="O38" s="242">
        <f>1-O37</f>
        <v>0.46530852035366022</v>
      </c>
    </row>
    <row r="40" spans="1:29" x14ac:dyDescent="0.3">
      <c r="B40" s="258" t="s">
        <v>583</v>
      </c>
      <c r="C40" s="377"/>
    </row>
    <row r="41" spans="1:29" x14ac:dyDescent="0.3">
      <c r="B41" s="259"/>
      <c r="C41" s="378"/>
    </row>
    <row r="42" spans="1:29" ht="27.6" x14ac:dyDescent="0.3">
      <c r="A42" s="32"/>
      <c r="B42" s="261" t="s">
        <v>620</v>
      </c>
      <c r="C42" s="379"/>
      <c r="D42" s="32" t="s">
        <v>617</v>
      </c>
      <c r="E42" s="32"/>
      <c r="F42" s="267" t="s">
        <v>618</v>
      </c>
      <c r="G42" s="267" t="s">
        <v>619</v>
      </c>
      <c r="I42" s="262"/>
      <c r="J42" s="267"/>
      <c r="K42" s="32"/>
      <c r="L42" s="32"/>
      <c r="M42" s="148"/>
      <c r="N42" s="32"/>
      <c r="O42" s="32"/>
    </row>
    <row r="43" spans="1:29" ht="27.6" x14ac:dyDescent="0.3">
      <c r="A43" s="32"/>
      <c r="B43" s="261" t="s">
        <v>638</v>
      </c>
      <c r="C43" s="379"/>
      <c r="D43" s="263" t="s">
        <v>584</v>
      </c>
      <c r="E43" s="263"/>
      <c r="F43" s="267" t="s">
        <v>655</v>
      </c>
      <c r="G43" s="267" t="s">
        <v>656</v>
      </c>
      <c r="I43" s="262"/>
      <c r="J43" s="267"/>
      <c r="K43" s="32"/>
      <c r="L43" s="32"/>
      <c r="M43" s="148"/>
      <c r="N43" s="32"/>
      <c r="O43" s="32">
        <v>1.65</v>
      </c>
    </row>
    <row r="44" spans="1:29" ht="27.6" x14ac:dyDescent="0.3">
      <c r="A44" s="32"/>
      <c r="B44" s="261" t="s">
        <v>639</v>
      </c>
      <c r="C44" s="379"/>
      <c r="D44" s="263" t="s">
        <v>585</v>
      </c>
      <c r="E44" s="263"/>
      <c r="F44" s="267" t="s">
        <v>475</v>
      </c>
      <c r="G44" s="267" t="s">
        <v>659</v>
      </c>
      <c r="I44" s="262"/>
      <c r="J44" s="267"/>
      <c r="K44" s="32"/>
      <c r="L44" s="32"/>
      <c r="M44" s="148"/>
      <c r="N44" s="32"/>
      <c r="O44" s="32">
        <v>0.86</v>
      </c>
    </row>
    <row r="45" spans="1:29" ht="41.4" x14ac:dyDescent="0.3">
      <c r="A45" s="32"/>
      <c r="B45" s="261" t="s">
        <v>637</v>
      </c>
      <c r="C45" s="379"/>
      <c r="D45" s="263" t="s">
        <v>586</v>
      </c>
      <c r="E45" s="263"/>
      <c r="F45" s="267" t="s">
        <v>657</v>
      </c>
      <c r="G45" s="267" t="s">
        <v>658</v>
      </c>
      <c r="I45" s="262"/>
      <c r="J45" s="267"/>
      <c r="K45" s="32"/>
      <c r="L45" s="32"/>
      <c r="M45" s="148"/>
      <c r="N45" s="32"/>
      <c r="O45" s="32">
        <v>0.95</v>
      </c>
    </row>
  </sheetData>
  <autoFilter ref="A1:AC33" xr:uid="{1B5B4C46-5DDD-41A0-9E1E-C211A6628C27}"/>
  <conditionalFormatting sqref="I2:I33">
    <cfRule type="colorScale" priority="4">
      <colorScale>
        <cfvo type="min"/>
        <cfvo type="max"/>
        <color rgb="FF63BE7B"/>
        <color rgb="FFFFEF9C"/>
      </colorScale>
    </cfRule>
  </conditionalFormatting>
  <conditionalFormatting sqref="A5:E6 A20:F20 G5:AC6 A21:AC33 H20:AC20 A1:AC4 A7:AC19">
    <cfRule type="expression" dxfId="437" priority="54">
      <formula>MOD(ROW(),2)=0</formula>
    </cfRule>
  </conditionalFormatting>
  <conditionalFormatting sqref="F5">
    <cfRule type="expression" dxfId="436" priority="3">
      <formula>MOD(ROW(),2)=0</formula>
    </cfRule>
  </conditionalFormatting>
  <conditionalFormatting sqref="F6">
    <cfRule type="expression" dxfId="435" priority="2">
      <formula>MOD(ROW(),2)=0</formula>
    </cfRule>
  </conditionalFormatting>
  <conditionalFormatting sqref="G20">
    <cfRule type="expression" dxfId="434" priority="1">
      <formula>MOD(ROW(),2)=0</formula>
    </cfRule>
  </conditionalFormatting>
  <hyperlinks>
    <hyperlink ref="B40" r:id="rId1" display="https://transportation.wv.gov/highways/engineering/comment/closed/Pages/default.aspx" xr:uid="{8E5FC73C-471F-4566-AA98-35FB7F356891}"/>
    <hyperlink ref="B42" r:id="rId2" display="https://transportation.wv.gov/highways/engineering/comment/closed/UniversityAvenueProject/Pages/default.aspx" xr:uid="{954BF169-4736-46FC-AF55-6A37BCFB5572}"/>
    <hyperlink ref="B45" r:id="rId3" display="https://transportation.wv.gov/highways/engineering/comment/closed/VanVoorhisRoadProject/Pages/default.aspx" xr:uid="{D07C5734-2DAD-483F-A3A5-D2AA2540B9AF}"/>
    <hyperlink ref="B43" r:id="rId4" display="https://transportation.wv.gov/highways/engineering/comment/closed/greenbagroadimprovementproject/Pages/default.aspx" xr:uid="{65EAF6A7-638D-4EE5-A850-22383BE38F80}"/>
    <hyperlink ref="B44" r:id="rId5" display="https://transportation.wv.gov/highways/engineering/comment/closed/WestRunRoadProject/Pages/default.aspx" xr:uid="{F23E7920-5E3B-4614-98A5-C2FB3BC62ABC}"/>
  </hyperlinks>
  <pageMargins left="0.7" right="0.7" top="0.75" bottom="0.75" header="0.3" footer="0.3"/>
  <pageSetup orientation="portrait" verticalDpi="0"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44B61-31F9-4A0A-8B06-7B5FFAF9BDE4}">
  <sheetPr>
    <tabColor theme="1" tint="0.499984740745262"/>
  </sheetPr>
  <dimension ref="A1:K109"/>
  <sheetViews>
    <sheetView workbookViewId="0"/>
  </sheetViews>
  <sheetFormatPr defaultColWidth="9.109375" defaultRowHeight="13.2" x14ac:dyDescent="0.3"/>
  <cols>
    <col min="1" max="1" width="37.44140625" style="85" customWidth="1"/>
    <col min="2" max="2" width="32.109375" style="85" customWidth="1"/>
    <col min="3" max="3" width="16" style="85" bestFit="1" customWidth="1"/>
    <col min="4" max="4" width="15.33203125" style="94" customWidth="1"/>
    <col min="5" max="5" width="11.44140625" style="85" bestFit="1" customWidth="1"/>
    <col min="6" max="6" width="15.6640625" style="85" bestFit="1" customWidth="1"/>
    <col min="7" max="7" width="10.33203125" style="97" customWidth="1"/>
    <col min="8" max="8" width="16.5546875" style="97" bestFit="1" customWidth="1"/>
    <col min="9" max="9" width="65.33203125" style="85" customWidth="1"/>
    <col min="10" max="11" width="10.33203125" style="97" customWidth="1"/>
    <col min="12" max="16384" width="9.109375" style="77"/>
  </cols>
  <sheetData>
    <row r="1" spans="1:11" ht="18.75" customHeight="1" x14ac:dyDescent="0.3">
      <c r="A1" s="86" t="s">
        <v>572</v>
      </c>
      <c r="B1" s="78"/>
      <c r="C1" s="78"/>
      <c r="D1" s="89"/>
      <c r="E1" s="79"/>
      <c r="F1" s="79"/>
      <c r="G1" s="95"/>
      <c r="H1" s="95"/>
      <c r="I1" s="79"/>
      <c r="J1" s="95"/>
      <c r="K1" s="95"/>
    </row>
    <row r="2" spans="1:11" ht="15.75" customHeight="1" thickBot="1" x14ac:dyDescent="0.35">
      <c r="A2" s="109" t="s">
        <v>449</v>
      </c>
      <c r="B2" s="109" t="s">
        <v>15</v>
      </c>
      <c r="C2" s="110" t="s">
        <v>6</v>
      </c>
      <c r="D2" s="111" t="s">
        <v>574</v>
      </c>
      <c r="E2" s="109" t="s">
        <v>450</v>
      </c>
      <c r="F2" s="110" t="s">
        <v>451</v>
      </c>
      <c r="G2" s="110" t="s">
        <v>575</v>
      </c>
      <c r="H2" s="110" t="s">
        <v>363</v>
      </c>
      <c r="I2" s="112" t="s">
        <v>605</v>
      </c>
      <c r="J2" s="110" t="s">
        <v>577</v>
      </c>
      <c r="K2" s="110" t="s">
        <v>576</v>
      </c>
    </row>
    <row r="3" spans="1:11" ht="15.75" customHeight="1" x14ac:dyDescent="0.3">
      <c r="A3" s="98" t="s">
        <v>492</v>
      </c>
      <c r="B3" s="99" t="s">
        <v>570</v>
      </c>
      <c r="C3" s="98" t="s">
        <v>233</v>
      </c>
      <c r="D3" s="100">
        <v>315000</v>
      </c>
      <c r="E3" s="101">
        <v>44013</v>
      </c>
      <c r="F3" s="101">
        <v>44375</v>
      </c>
      <c r="G3" s="96">
        <f t="shared" ref="G3:G34" si="0">YEAR(F3)</f>
        <v>2021</v>
      </c>
      <c r="H3" s="96" t="s">
        <v>364</v>
      </c>
      <c r="I3" s="114"/>
      <c r="J3" s="96"/>
      <c r="K3" s="96"/>
    </row>
    <row r="4" spans="1:11" ht="15.75" customHeight="1" x14ac:dyDescent="0.3">
      <c r="A4" s="80" t="s">
        <v>493</v>
      </c>
      <c r="B4" s="80" t="s">
        <v>494</v>
      </c>
      <c r="C4" s="80" t="s">
        <v>134</v>
      </c>
      <c r="D4" s="92">
        <v>150000</v>
      </c>
      <c r="E4" s="81">
        <v>44040</v>
      </c>
      <c r="F4" s="81">
        <v>44183</v>
      </c>
      <c r="G4" s="96">
        <f t="shared" si="0"/>
        <v>2020</v>
      </c>
      <c r="H4" s="96" t="s">
        <v>364</v>
      </c>
      <c r="I4" s="114"/>
      <c r="J4" s="96"/>
      <c r="K4" s="96"/>
    </row>
    <row r="5" spans="1:11" ht="15.75" customHeight="1" x14ac:dyDescent="0.3">
      <c r="A5" s="80" t="s">
        <v>521</v>
      </c>
      <c r="B5" s="80" t="s">
        <v>494</v>
      </c>
      <c r="C5" s="80" t="s">
        <v>134</v>
      </c>
      <c r="D5" s="92">
        <v>456000</v>
      </c>
      <c r="E5" s="81">
        <v>44040</v>
      </c>
      <c r="F5" s="81">
        <v>44183</v>
      </c>
      <c r="G5" s="96">
        <f t="shared" si="0"/>
        <v>2020</v>
      </c>
      <c r="H5" s="96" t="s">
        <v>364</v>
      </c>
      <c r="I5" s="114"/>
      <c r="J5" s="96"/>
      <c r="K5" s="96"/>
    </row>
    <row r="6" spans="1:11" ht="15.75" customHeight="1" x14ac:dyDescent="0.3">
      <c r="A6" s="80" t="s">
        <v>531</v>
      </c>
      <c r="B6" s="80" t="s">
        <v>494</v>
      </c>
      <c r="C6" s="80" t="s">
        <v>134</v>
      </c>
      <c r="D6" s="92">
        <v>169000</v>
      </c>
      <c r="E6" s="81">
        <v>44040</v>
      </c>
      <c r="F6" s="81">
        <v>44183</v>
      </c>
      <c r="G6" s="96">
        <f t="shared" si="0"/>
        <v>2020</v>
      </c>
      <c r="H6" s="96" t="s">
        <v>364</v>
      </c>
      <c r="I6" s="114"/>
      <c r="J6" s="96"/>
      <c r="K6" s="96"/>
    </row>
    <row r="7" spans="1:11" ht="15.75" customHeight="1" x14ac:dyDescent="0.3">
      <c r="A7" s="80" t="s">
        <v>563</v>
      </c>
      <c r="B7" s="80" t="s">
        <v>494</v>
      </c>
      <c r="C7" s="80" t="s">
        <v>134</v>
      </c>
      <c r="D7" s="90">
        <v>161000</v>
      </c>
      <c r="E7" s="81">
        <v>44040</v>
      </c>
      <c r="F7" s="81">
        <v>44175</v>
      </c>
      <c r="G7" s="96">
        <f t="shared" si="0"/>
        <v>2020</v>
      </c>
      <c r="H7" s="96" t="s">
        <v>364</v>
      </c>
      <c r="I7" s="114"/>
      <c r="J7" s="96"/>
      <c r="K7" s="96"/>
    </row>
    <row r="8" spans="1:11" ht="15.75" customHeight="1" x14ac:dyDescent="0.3">
      <c r="A8" s="80" t="s">
        <v>530</v>
      </c>
      <c r="B8" s="82" t="s">
        <v>508</v>
      </c>
      <c r="C8" s="82" t="s">
        <v>505</v>
      </c>
      <c r="D8" s="93">
        <v>519000</v>
      </c>
      <c r="E8" s="83">
        <v>44075</v>
      </c>
      <c r="F8" s="83">
        <v>44173</v>
      </c>
      <c r="G8" s="96">
        <f t="shared" si="0"/>
        <v>2020</v>
      </c>
      <c r="H8" s="96" t="s">
        <v>364</v>
      </c>
      <c r="I8" s="114"/>
      <c r="J8" s="96"/>
      <c r="K8" s="96"/>
    </row>
    <row r="9" spans="1:11" ht="15.75" customHeight="1" x14ac:dyDescent="0.3">
      <c r="A9" s="80" t="s">
        <v>488</v>
      </c>
      <c r="B9" s="80" t="s">
        <v>489</v>
      </c>
      <c r="C9" s="80" t="s">
        <v>88</v>
      </c>
      <c r="D9" s="92">
        <v>318000</v>
      </c>
      <c r="E9" s="81">
        <v>43756</v>
      </c>
      <c r="F9" s="81">
        <v>44166</v>
      </c>
      <c r="G9" s="96">
        <f t="shared" si="0"/>
        <v>2020</v>
      </c>
      <c r="H9" s="96" t="s">
        <v>364</v>
      </c>
      <c r="I9" s="114"/>
      <c r="J9" s="96"/>
      <c r="K9" s="96"/>
    </row>
    <row r="10" spans="1:11" ht="15.75" customHeight="1" x14ac:dyDescent="0.3">
      <c r="A10" s="80" t="s">
        <v>529</v>
      </c>
      <c r="B10" s="80" t="s">
        <v>508</v>
      </c>
      <c r="C10" s="80" t="s">
        <v>505</v>
      </c>
      <c r="D10" s="92">
        <v>326000</v>
      </c>
      <c r="E10" s="81">
        <v>44078</v>
      </c>
      <c r="F10" s="81">
        <v>44165</v>
      </c>
      <c r="G10" s="96">
        <f t="shared" si="0"/>
        <v>2020</v>
      </c>
      <c r="H10" s="96" t="s">
        <v>364</v>
      </c>
      <c r="I10" s="114"/>
      <c r="J10" s="96"/>
      <c r="K10" s="96"/>
    </row>
    <row r="11" spans="1:11" ht="15.75" customHeight="1" x14ac:dyDescent="0.3">
      <c r="A11" s="80" t="s">
        <v>568</v>
      </c>
      <c r="B11" s="80" t="s">
        <v>569</v>
      </c>
      <c r="C11" s="80" t="s">
        <v>55</v>
      </c>
      <c r="D11" s="90">
        <v>206000</v>
      </c>
      <c r="E11" s="81">
        <v>43700</v>
      </c>
      <c r="F11" s="81">
        <v>44157</v>
      </c>
      <c r="G11" s="96">
        <f t="shared" si="0"/>
        <v>2020</v>
      </c>
      <c r="H11" s="96" t="s">
        <v>364</v>
      </c>
      <c r="I11" s="114"/>
      <c r="J11" s="96"/>
      <c r="K11" s="96"/>
    </row>
    <row r="12" spans="1:11" ht="15.75" customHeight="1" x14ac:dyDescent="0.3">
      <c r="A12" s="80" t="s">
        <v>503</v>
      </c>
      <c r="B12" s="80" t="s">
        <v>504</v>
      </c>
      <c r="C12" s="80" t="s">
        <v>505</v>
      </c>
      <c r="D12" s="92">
        <v>171000</v>
      </c>
      <c r="E12" s="81">
        <v>44075</v>
      </c>
      <c r="F12" s="81">
        <v>44155</v>
      </c>
      <c r="G12" s="96">
        <f t="shared" si="0"/>
        <v>2020</v>
      </c>
      <c r="H12" s="96" t="s">
        <v>364</v>
      </c>
      <c r="I12" s="114"/>
      <c r="J12" s="96"/>
      <c r="K12" s="96"/>
    </row>
    <row r="13" spans="1:11" ht="15.75" customHeight="1" x14ac:dyDescent="0.3">
      <c r="A13" s="80" t="s">
        <v>507</v>
      </c>
      <c r="B13" s="80" t="s">
        <v>508</v>
      </c>
      <c r="C13" s="80" t="s">
        <v>505</v>
      </c>
      <c r="D13" s="92">
        <v>414000</v>
      </c>
      <c r="E13" s="81">
        <v>44056</v>
      </c>
      <c r="F13" s="81">
        <v>44146</v>
      </c>
      <c r="G13" s="96">
        <f t="shared" si="0"/>
        <v>2020</v>
      </c>
      <c r="H13" s="96" t="s">
        <v>364</v>
      </c>
      <c r="I13" s="114"/>
      <c r="J13" s="96"/>
      <c r="K13" s="96"/>
    </row>
    <row r="14" spans="1:11" ht="15.75" customHeight="1" x14ac:dyDescent="0.3">
      <c r="A14" s="80" t="s">
        <v>520</v>
      </c>
      <c r="B14" s="80" t="s">
        <v>423</v>
      </c>
      <c r="C14" s="80" t="s">
        <v>505</v>
      </c>
      <c r="D14" s="92">
        <v>73000</v>
      </c>
      <c r="E14" s="81">
        <v>44056</v>
      </c>
      <c r="F14" s="81">
        <v>44146</v>
      </c>
      <c r="G14" s="96">
        <f t="shared" si="0"/>
        <v>2020</v>
      </c>
      <c r="H14" s="96" t="s">
        <v>364</v>
      </c>
      <c r="I14" s="114"/>
      <c r="J14" s="96"/>
      <c r="K14" s="96"/>
    </row>
    <row r="15" spans="1:11" ht="15.75" customHeight="1" x14ac:dyDescent="0.3">
      <c r="A15" s="80" t="s">
        <v>487</v>
      </c>
      <c r="B15" s="80" t="s">
        <v>423</v>
      </c>
      <c r="C15" s="80" t="s">
        <v>134</v>
      </c>
      <c r="D15" s="92">
        <v>372000</v>
      </c>
      <c r="E15" s="81">
        <v>44120</v>
      </c>
      <c r="F15" s="81">
        <v>44127</v>
      </c>
      <c r="G15" s="96">
        <f t="shared" si="0"/>
        <v>2020</v>
      </c>
      <c r="H15" s="96" t="s">
        <v>364</v>
      </c>
      <c r="I15" s="114"/>
      <c r="J15" s="96"/>
      <c r="K15" s="96"/>
    </row>
    <row r="16" spans="1:11" ht="15.75" customHeight="1" x14ac:dyDescent="0.3">
      <c r="A16" s="80" t="s">
        <v>485</v>
      </c>
      <c r="B16" s="80" t="s">
        <v>486</v>
      </c>
      <c r="C16" s="80" t="s">
        <v>88</v>
      </c>
      <c r="D16" s="92">
        <v>535000</v>
      </c>
      <c r="E16" s="81">
        <v>44053</v>
      </c>
      <c r="F16" s="81">
        <v>44120</v>
      </c>
      <c r="G16" s="96">
        <f t="shared" si="0"/>
        <v>2020</v>
      </c>
      <c r="H16" s="96" t="s">
        <v>364</v>
      </c>
      <c r="I16" s="114"/>
      <c r="J16" s="96" t="s">
        <v>581</v>
      </c>
      <c r="K16" s="96">
        <v>27</v>
      </c>
    </row>
    <row r="17" spans="1:11" ht="15.75" customHeight="1" x14ac:dyDescent="0.3">
      <c r="A17" s="80" t="s">
        <v>477</v>
      </c>
      <c r="B17" s="80" t="s">
        <v>423</v>
      </c>
      <c r="C17" s="80" t="s">
        <v>134</v>
      </c>
      <c r="D17" s="92">
        <v>757000</v>
      </c>
      <c r="E17" s="81">
        <v>44071</v>
      </c>
      <c r="F17" s="81">
        <v>44088</v>
      </c>
      <c r="G17" s="96">
        <f t="shared" si="0"/>
        <v>2020</v>
      </c>
      <c r="H17" s="96" t="s">
        <v>364</v>
      </c>
      <c r="I17" s="114"/>
      <c r="J17" s="96"/>
      <c r="K17" s="96"/>
    </row>
    <row r="18" spans="1:11" ht="15.75" customHeight="1" x14ac:dyDescent="0.3">
      <c r="A18" s="80" t="s">
        <v>490</v>
      </c>
      <c r="B18" s="80" t="s">
        <v>491</v>
      </c>
      <c r="C18" s="80" t="s">
        <v>88</v>
      </c>
      <c r="D18" s="92">
        <v>2025000</v>
      </c>
      <c r="E18" s="81">
        <v>43962</v>
      </c>
      <c r="F18" s="81">
        <v>44060</v>
      </c>
      <c r="G18" s="96">
        <f t="shared" si="0"/>
        <v>2020</v>
      </c>
      <c r="H18" s="96" t="s">
        <v>364</v>
      </c>
      <c r="I18" s="114"/>
      <c r="J18" s="96"/>
      <c r="K18" s="96"/>
    </row>
    <row r="19" spans="1:11" ht="15.75" customHeight="1" x14ac:dyDescent="0.3">
      <c r="A19" s="113" t="s">
        <v>612</v>
      </c>
      <c r="B19" s="107" t="s">
        <v>506</v>
      </c>
      <c r="C19" s="80" t="s">
        <v>45</v>
      </c>
      <c r="D19" s="92">
        <v>3732000</v>
      </c>
      <c r="E19" s="81">
        <v>43894</v>
      </c>
      <c r="F19" s="81">
        <v>44027</v>
      </c>
      <c r="G19" s="96">
        <f t="shared" si="0"/>
        <v>2020</v>
      </c>
      <c r="H19" s="108"/>
      <c r="I19" s="126" t="s">
        <v>613</v>
      </c>
      <c r="J19" s="96" t="s">
        <v>578</v>
      </c>
      <c r="K19" s="96">
        <v>17</v>
      </c>
    </row>
    <row r="20" spans="1:11" ht="15.75" customHeight="1" x14ac:dyDescent="0.3">
      <c r="A20" s="80" t="s">
        <v>511</v>
      </c>
      <c r="B20" s="80" t="s">
        <v>512</v>
      </c>
      <c r="C20" s="80" t="s">
        <v>513</v>
      </c>
      <c r="D20" s="92">
        <v>677000</v>
      </c>
      <c r="E20" s="81">
        <v>43769</v>
      </c>
      <c r="F20" s="81">
        <v>44006</v>
      </c>
      <c r="G20" s="96">
        <f t="shared" si="0"/>
        <v>2020</v>
      </c>
      <c r="H20" s="96" t="s">
        <v>364</v>
      </c>
      <c r="I20" s="114"/>
      <c r="J20" s="96"/>
      <c r="K20" s="96"/>
    </row>
    <row r="21" spans="1:11" ht="15.75" customHeight="1" x14ac:dyDescent="0.3">
      <c r="A21" s="80" t="s">
        <v>498</v>
      </c>
      <c r="B21" s="80" t="s">
        <v>423</v>
      </c>
      <c r="C21" s="80" t="s">
        <v>28</v>
      </c>
      <c r="D21" s="92">
        <v>942000</v>
      </c>
      <c r="E21" s="81">
        <v>43948</v>
      </c>
      <c r="F21" s="81">
        <v>43990</v>
      </c>
      <c r="G21" s="96">
        <f t="shared" si="0"/>
        <v>2020</v>
      </c>
      <c r="H21" s="96" t="s">
        <v>364</v>
      </c>
      <c r="I21" s="114"/>
      <c r="J21" s="96"/>
      <c r="K21" s="96"/>
    </row>
    <row r="22" spans="1:11" ht="15.75" customHeight="1" x14ac:dyDescent="0.3">
      <c r="A22" s="80" t="s">
        <v>518</v>
      </c>
      <c r="B22" s="80" t="s">
        <v>519</v>
      </c>
      <c r="C22" s="80" t="s">
        <v>88</v>
      </c>
      <c r="D22" s="92">
        <v>462000</v>
      </c>
      <c r="E22" s="81">
        <v>43717</v>
      </c>
      <c r="F22" s="81">
        <v>43963</v>
      </c>
      <c r="G22" s="96">
        <f t="shared" si="0"/>
        <v>2020</v>
      </c>
      <c r="H22" s="96" t="s">
        <v>364</v>
      </c>
      <c r="I22" s="114"/>
      <c r="J22" s="96" t="s">
        <v>581</v>
      </c>
      <c r="K22" s="96">
        <v>29</v>
      </c>
    </row>
    <row r="23" spans="1:11" ht="15.75" customHeight="1" x14ac:dyDescent="0.3">
      <c r="A23" s="80" t="s">
        <v>481</v>
      </c>
      <c r="B23" s="80" t="s">
        <v>482</v>
      </c>
      <c r="C23" s="80" t="s">
        <v>88</v>
      </c>
      <c r="D23" s="92">
        <v>4000</v>
      </c>
      <c r="E23" s="81">
        <v>40423</v>
      </c>
      <c r="F23" s="81">
        <v>43951</v>
      </c>
      <c r="G23" s="96">
        <f t="shared" si="0"/>
        <v>2020</v>
      </c>
      <c r="H23" s="96" t="s">
        <v>364</v>
      </c>
      <c r="I23" s="114"/>
      <c r="J23" s="96"/>
      <c r="K23" s="96"/>
    </row>
    <row r="24" spans="1:11" ht="15.75" customHeight="1" x14ac:dyDescent="0.3">
      <c r="A24" s="80" t="s">
        <v>509</v>
      </c>
      <c r="B24" s="80" t="s">
        <v>510</v>
      </c>
      <c r="C24" s="80" t="s">
        <v>134</v>
      </c>
      <c r="D24" s="92">
        <v>2065000</v>
      </c>
      <c r="E24" s="81">
        <v>43221</v>
      </c>
      <c r="F24" s="81">
        <v>43910</v>
      </c>
      <c r="G24" s="96">
        <f t="shared" si="0"/>
        <v>2020</v>
      </c>
      <c r="H24" s="96" t="s">
        <v>364</v>
      </c>
      <c r="I24" s="114"/>
      <c r="J24" s="96"/>
      <c r="K24" s="96"/>
    </row>
    <row r="25" spans="1:11" ht="15.75" customHeight="1" x14ac:dyDescent="0.3">
      <c r="A25" s="80" t="s">
        <v>452</v>
      </c>
      <c r="B25" s="107" t="s">
        <v>453</v>
      </c>
      <c r="C25" s="80" t="s">
        <v>454</v>
      </c>
      <c r="D25" s="90">
        <v>2163000</v>
      </c>
      <c r="E25" s="81">
        <v>41698</v>
      </c>
      <c r="F25" s="81">
        <v>43858</v>
      </c>
      <c r="G25" s="96">
        <f t="shared" si="0"/>
        <v>2020</v>
      </c>
      <c r="H25" s="108"/>
      <c r="I25" s="115" t="s">
        <v>606</v>
      </c>
      <c r="J25" s="96" t="s">
        <v>578</v>
      </c>
      <c r="K25" s="96">
        <v>11</v>
      </c>
    </row>
    <row r="26" spans="1:11" ht="15.75" customHeight="1" x14ac:dyDescent="0.3">
      <c r="A26" s="80" t="s">
        <v>458</v>
      </c>
      <c r="B26" s="80" t="s">
        <v>459</v>
      </c>
      <c r="C26" s="80" t="s">
        <v>55</v>
      </c>
      <c r="D26" s="90">
        <v>8000</v>
      </c>
      <c r="E26" s="81">
        <v>42984</v>
      </c>
      <c r="F26" s="81">
        <v>43835</v>
      </c>
      <c r="G26" s="96">
        <f t="shared" si="0"/>
        <v>2020</v>
      </c>
      <c r="H26" s="96" t="s">
        <v>364</v>
      </c>
      <c r="I26" s="114"/>
      <c r="J26" s="96"/>
      <c r="K26" s="96"/>
    </row>
    <row r="27" spans="1:11" ht="15.75" customHeight="1" x14ac:dyDescent="0.3">
      <c r="A27" s="80" t="s">
        <v>551</v>
      </c>
      <c r="B27" s="80" t="s">
        <v>423</v>
      </c>
      <c r="C27" s="80" t="s">
        <v>366</v>
      </c>
      <c r="D27" s="92">
        <v>1091000</v>
      </c>
      <c r="E27" s="81">
        <v>43766</v>
      </c>
      <c r="F27" s="81">
        <v>43810</v>
      </c>
      <c r="G27" s="96">
        <f t="shared" si="0"/>
        <v>2019</v>
      </c>
      <c r="H27" s="96" t="s">
        <v>364</v>
      </c>
      <c r="I27" s="114"/>
      <c r="J27" s="96" t="s">
        <v>581</v>
      </c>
      <c r="K27" s="96">
        <v>37</v>
      </c>
    </row>
    <row r="28" spans="1:11" ht="15.75" customHeight="1" x14ac:dyDescent="0.3">
      <c r="A28" s="80" t="s">
        <v>539</v>
      </c>
      <c r="B28" s="80" t="s">
        <v>423</v>
      </c>
      <c r="C28" s="80" t="s">
        <v>366</v>
      </c>
      <c r="D28" s="92">
        <v>305000</v>
      </c>
      <c r="E28" s="81">
        <v>43766</v>
      </c>
      <c r="F28" s="81">
        <v>43801</v>
      </c>
      <c r="G28" s="96">
        <f t="shared" si="0"/>
        <v>2019</v>
      </c>
      <c r="H28" s="96" t="s">
        <v>364</v>
      </c>
      <c r="I28" s="114"/>
      <c r="J28" s="96" t="s">
        <v>581</v>
      </c>
      <c r="K28" s="96">
        <v>33</v>
      </c>
    </row>
    <row r="29" spans="1:11" ht="15.75" customHeight="1" x14ac:dyDescent="0.3">
      <c r="A29" s="80" t="s">
        <v>500</v>
      </c>
      <c r="B29" s="80" t="s">
        <v>423</v>
      </c>
      <c r="C29" s="80" t="s">
        <v>28</v>
      </c>
      <c r="D29" s="92">
        <v>939000</v>
      </c>
      <c r="E29" s="81">
        <v>43705</v>
      </c>
      <c r="F29" s="81">
        <v>43782</v>
      </c>
      <c r="G29" s="96">
        <f t="shared" si="0"/>
        <v>2019</v>
      </c>
      <c r="H29" s="96" t="s">
        <v>364</v>
      </c>
      <c r="I29" s="114"/>
      <c r="J29" s="96"/>
      <c r="K29" s="96"/>
    </row>
    <row r="30" spans="1:11" ht="15.75" customHeight="1" x14ac:dyDescent="0.3">
      <c r="A30" s="80" t="s">
        <v>549</v>
      </c>
      <c r="B30" s="80" t="s">
        <v>550</v>
      </c>
      <c r="C30" s="80" t="s">
        <v>28</v>
      </c>
      <c r="D30" s="92">
        <v>48000</v>
      </c>
      <c r="E30" s="81">
        <v>43718</v>
      </c>
      <c r="F30" s="81">
        <v>43782</v>
      </c>
      <c r="G30" s="96">
        <f t="shared" si="0"/>
        <v>2019</v>
      </c>
      <c r="H30" s="96" t="s">
        <v>364</v>
      </c>
      <c r="I30" s="114"/>
      <c r="J30" s="96"/>
      <c r="K30" s="96"/>
    </row>
    <row r="31" spans="1:11" ht="15.75" customHeight="1" x14ac:dyDescent="0.3">
      <c r="A31" s="80" t="s">
        <v>483</v>
      </c>
      <c r="B31" s="80" t="s">
        <v>484</v>
      </c>
      <c r="C31" s="80" t="s">
        <v>134</v>
      </c>
      <c r="D31" s="92">
        <v>4318000</v>
      </c>
      <c r="E31" s="81">
        <v>43287</v>
      </c>
      <c r="F31" s="81">
        <v>43776</v>
      </c>
      <c r="G31" s="96">
        <f t="shared" si="0"/>
        <v>2019</v>
      </c>
      <c r="H31" s="96" t="s">
        <v>364</v>
      </c>
      <c r="I31" s="114"/>
      <c r="J31" s="96" t="s">
        <v>581</v>
      </c>
      <c r="K31" s="96">
        <v>25</v>
      </c>
    </row>
    <row r="32" spans="1:11" ht="15.75" customHeight="1" x14ac:dyDescent="0.3">
      <c r="A32" s="82" t="s">
        <v>566</v>
      </c>
      <c r="B32" s="80" t="s">
        <v>567</v>
      </c>
      <c r="C32" s="82" t="s">
        <v>45</v>
      </c>
      <c r="D32" s="91">
        <v>2196000</v>
      </c>
      <c r="E32" s="83">
        <v>40780</v>
      </c>
      <c r="F32" s="83">
        <v>43771</v>
      </c>
      <c r="G32" s="96">
        <f t="shared" si="0"/>
        <v>2019</v>
      </c>
      <c r="H32" s="96" t="s">
        <v>364</v>
      </c>
      <c r="I32" s="114"/>
      <c r="J32" s="96"/>
      <c r="K32" s="96"/>
    </row>
    <row r="33" spans="1:11" ht="15.75" customHeight="1" x14ac:dyDescent="0.3">
      <c r="A33" s="80" t="s">
        <v>480</v>
      </c>
      <c r="B33" s="80" t="s">
        <v>423</v>
      </c>
      <c r="C33" s="80" t="s">
        <v>28</v>
      </c>
      <c r="D33" s="92">
        <v>6457000</v>
      </c>
      <c r="E33" s="81">
        <v>43558</v>
      </c>
      <c r="F33" s="81">
        <v>43725</v>
      </c>
      <c r="G33" s="96">
        <f t="shared" si="0"/>
        <v>2019</v>
      </c>
      <c r="H33" s="96" t="s">
        <v>364</v>
      </c>
      <c r="I33" s="114"/>
      <c r="J33" s="96" t="s">
        <v>581</v>
      </c>
      <c r="K33" s="96">
        <v>25</v>
      </c>
    </row>
    <row r="34" spans="1:11" ht="15.75" customHeight="1" x14ac:dyDescent="0.3">
      <c r="A34" s="80" t="s">
        <v>544</v>
      </c>
      <c r="B34" s="82" t="s">
        <v>479</v>
      </c>
      <c r="C34" s="82" t="s">
        <v>123</v>
      </c>
      <c r="D34" s="93">
        <v>4460000</v>
      </c>
      <c r="E34" s="83">
        <v>43212</v>
      </c>
      <c r="F34" s="83">
        <v>43724</v>
      </c>
      <c r="G34" s="96">
        <f t="shared" si="0"/>
        <v>2019</v>
      </c>
      <c r="H34" s="96" t="s">
        <v>364</v>
      </c>
      <c r="I34" s="114"/>
      <c r="J34" s="96"/>
      <c r="K34" s="96"/>
    </row>
    <row r="35" spans="1:11" ht="15.75" customHeight="1" x14ac:dyDescent="0.3">
      <c r="A35" s="80" t="s">
        <v>490</v>
      </c>
      <c r="B35" s="80" t="s">
        <v>491</v>
      </c>
      <c r="C35" s="80" t="s">
        <v>123</v>
      </c>
      <c r="D35" s="92">
        <v>1863000</v>
      </c>
      <c r="E35" s="81">
        <v>43613</v>
      </c>
      <c r="F35" s="81">
        <v>43663</v>
      </c>
      <c r="G35" s="96">
        <f t="shared" ref="G35:G66" si="1">YEAR(F35)</f>
        <v>2019</v>
      </c>
      <c r="H35" s="96" t="s">
        <v>364</v>
      </c>
      <c r="I35" s="114"/>
      <c r="J35" s="96" t="s">
        <v>578</v>
      </c>
      <c r="K35" s="96">
        <v>13</v>
      </c>
    </row>
    <row r="36" spans="1:11" ht="15.75" customHeight="1" x14ac:dyDescent="0.3">
      <c r="A36" s="80" t="s">
        <v>465</v>
      </c>
      <c r="B36" s="80" t="s">
        <v>466</v>
      </c>
      <c r="C36" s="80" t="s">
        <v>55</v>
      </c>
      <c r="D36" s="92">
        <v>43000</v>
      </c>
      <c r="E36" s="81">
        <v>43010</v>
      </c>
      <c r="F36" s="81">
        <v>43662</v>
      </c>
      <c r="G36" s="96">
        <f t="shared" si="1"/>
        <v>2019</v>
      </c>
      <c r="H36" s="96" t="s">
        <v>364</v>
      </c>
      <c r="I36" s="114"/>
      <c r="J36" s="96"/>
      <c r="K36" s="96"/>
    </row>
    <row r="37" spans="1:11" ht="15.75" customHeight="1" x14ac:dyDescent="0.3">
      <c r="A37" s="80" t="s">
        <v>514</v>
      </c>
      <c r="B37" s="107" t="s">
        <v>515</v>
      </c>
      <c r="C37" s="80" t="s">
        <v>123</v>
      </c>
      <c r="D37" s="92">
        <v>4147000</v>
      </c>
      <c r="E37" s="81">
        <v>43287</v>
      </c>
      <c r="F37" s="81">
        <v>43606</v>
      </c>
      <c r="G37" s="96">
        <f t="shared" si="1"/>
        <v>2019</v>
      </c>
      <c r="H37" s="108"/>
      <c r="I37" s="115" t="s">
        <v>607</v>
      </c>
      <c r="J37" s="96" t="s">
        <v>581</v>
      </c>
      <c r="K37" s="96">
        <v>27</v>
      </c>
    </row>
    <row r="38" spans="1:11" ht="15.75" customHeight="1" x14ac:dyDescent="0.3">
      <c r="A38" s="80" t="s">
        <v>488</v>
      </c>
      <c r="B38" s="80" t="s">
        <v>489</v>
      </c>
      <c r="C38" s="80" t="s">
        <v>123</v>
      </c>
      <c r="D38" s="92">
        <v>60000</v>
      </c>
      <c r="E38" s="81">
        <v>43279</v>
      </c>
      <c r="F38" s="81">
        <v>43604</v>
      </c>
      <c r="G38" s="96">
        <f t="shared" si="1"/>
        <v>2019</v>
      </c>
      <c r="H38" s="96" t="s">
        <v>364</v>
      </c>
      <c r="I38" s="114"/>
      <c r="J38" s="96"/>
      <c r="K38" s="96"/>
    </row>
    <row r="39" spans="1:11" ht="15.75" customHeight="1" x14ac:dyDescent="0.3">
      <c r="A39" s="82" t="s">
        <v>524</v>
      </c>
      <c r="B39" s="82" t="s">
        <v>525</v>
      </c>
      <c r="C39" s="84" t="s">
        <v>571</v>
      </c>
      <c r="D39" s="93">
        <v>316000</v>
      </c>
      <c r="E39" s="83">
        <v>41075</v>
      </c>
      <c r="F39" s="83">
        <v>43549</v>
      </c>
      <c r="G39" s="96">
        <f t="shared" si="1"/>
        <v>2019</v>
      </c>
      <c r="H39" s="96" t="s">
        <v>364</v>
      </c>
      <c r="I39" s="114"/>
      <c r="J39" s="96"/>
      <c r="K39" s="96"/>
    </row>
    <row r="40" spans="1:11" ht="15.75" customHeight="1" x14ac:dyDescent="0.3">
      <c r="A40" s="80" t="s">
        <v>558</v>
      </c>
      <c r="B40" s="82" t="s">
        <v>548</v>
      </c>
      <c r="C40" s="80" t="s">
        <v>527</v>
      </c>
      <c r="D40" s="91">
        <v>552000</v>
      </c>
      <c r="E40" s="83">
        <v>40746</v>
      </c>
      <c r="F40" s="83">
        <v>43549</v>
      </c>
      <c r="G40" s="96">
        <f t="shared" si="1"/>
        <v>2019</v>
      </c>
      <c r="H40" s="96" t="s">
        <v>364</v>
      </c>
      <c r="I40" s="114"/>
      <c r="J40" s="96"/>
      <c r="K40" s="96"/>
    </row>
    <row r="41" spans="1:11" ht="15.75" customHeight="1" x14ac:dyDescent="0.3">
      <c r="A41" s="80" t="s">
        <v>490</v>
      </c>
      <c r="B41" s="80" t="s">
        <v>491</v>
      </c>
      <c r="C41" s="80" t="s">
        <v>88</v>
      </c>
      <c r="D41" s="92">
        <v>1534000</v>
      </c>
      <c r="E41" s="81">
        <v>43221</v>
      </c>
      <c r="F41" s="81">
        <v>43521</v>
      </c>
      <c r="G41" s="96">
        <f t="shared" si="1"/>
        <v>2019</v>
      </c>
      <c r="H41" s="96" t="s">
        <v>364</v>
      </c>
      <c r="I41" s="114"/>
      <c r="J41" s="96"/>
      <c r="K41" s="96"/>
    </row>
    <row r="42" spans="1:11" ht="15.75" customHeight="1" x14ac:dyDescent="0.3">
      <c r="A42" s="80" t="s">
        <v>561</v>
      </c>
      <c r="B42" s="82" t="s">
        <v>562</v>
      </c>
      <c r="C42" s="82" t="s">
        <v>134</v>
      </c>
      <c r="D42" s="92">
        <v>18802000</v>
      </c>
      <c r="E42" s="83">
        <v>43040</v>
      </c>
      <c r="F42" s="83">
        <v>43473</v>
      </c>
      <c r="G42" s="96">
        <f t="shared" si="1"/>
        <v>2019</v>
      </c>
      <c r="H42" s="96" t="s">
        <v>364</v>
      </c>
      <c r="I42" s="114"/>
      <c r="J42" s="96"/>
      <c r="K42" s="96"/>
    </row>
    <row r="43" spans="1:11" ht="15.75" customHeight="1" x14ac:dyDescent="0.3">
      <c r="A43" s="80" t="s">
        <v>462</v>
      </c>
      <c r="B43" s="80" t="s">
        <v>463</v>
      </c>
      <c r="C43" s="80" t="s">
        <v>28</v>
      </c>
      <c r="D43" s="90">
        <v>1874000</v>
      </c>
      <c r="E43" s="81">
        <v>42948</v>
      </c>
      <c r="F43" s="81">
        <v>43438</v>
      </c>
      <c r="G43" s="96">
        <f t="shared" si="1"/>
        <v>2018</v>
      </c>
      <c r="H43" s="96" t="s">
        <v>364</v>
      </c>
      <c r="I43" s="114"/>
      <c r="J43" s="96" t="s">
        <v>578</v>
      </c>
      <c r="K43" s="96">
        <v>12</v>
      </c>
    </row>
    <row r="44" spans="1:11" ht="15.75" customHeight="1" x14ac:dyDescent="0.3">
      <c r="A44" s="80" t="s">
        <v>460</v>
      </c>
      <c r="B44" s="82" t="s">
        <v>461</v>
      </c>
      <c r="C44" s="82" t="s">
        <v>457</v>
      </c>
      <c r="D44" s="91">
        <v>381000</v>
      </c>
      <c r="E44" s="83">
        <v>43054</v>
      </c>
      <c r="F44" s="83">
        <v>43432</v>
      </c>
      <c r="G44" s="96">
        <f t="shared" si="1"/>
        <v>2018</v>
      </c>
      <c r="H44" s="96" t="s">
        <v>364</v>
      </c>
      <c r="I44" s="114"/>
      <c r="J44" s="96"/>
      <c r="K44" s="96"/>
    </row>
    <row r="45" spans="1:11" ht="15.75" customHeight="1" x14ac:dyDescent="0.3">
      <c r="A45" s="80" t="s">
        <v>478</v>
      </c>
      <c r="B45" s="80" t="s">
        <v>479</v>
      </c>
      <c r="C45" s="80" t="s">
        <v>123</v>
      </c>
      <c r="D45" s="92">
        <v>627000</v>
      </c>
      <c r="E45" s="81">
        <v>43360</v>
      </c>
      <c r="F45" s="81">
        <v>43431</v>
      </c>
      <c r="G45" s="96">
        <f t="shared" si="1"/>
        <v>2018</v>
      </c>
      <c r="H45" s="96" t="s">
        <v>364</v>
      </c>
      <c r="I45" s="114"/>
      <c r="J45" s="96" t="s">
        <v>581</v>
      </c>
      <c r="K45" s="96">
        <v>24</v>
      </c>
    </row>
    <row r="46" spans="1:11" ht="15.75" customHeight="1" x14ac:dyDescent="0.3">
      <c r="A46" s="80" t="s">
        <v>555</v>
      </c>
      <c r="B46" s="82" t="s">
        <v>556</v>
      </c>
      <c r="C46" s="82" t="s">
        <v>28</v>
      </c>
      <c r="D46" s="93">
        <v>328000</v>
      </c>
      <c r="E46" s="83">
        <v>43195</v>
      </c>
      <c r="F46" s="83">
        <v>43411</v>
      </c>
      <c r="G46" s="96">
        <f t="shared" si="1"/>
        <v>2018</v>
      </c>
      <c r="H46" s="96" t="s">
        <v>364</v>
      </c>
      <c r="I46" s="114"/>
      <c r="J46" s="96"/>
      <c r="K46" s="96"/>
    </row>
    <row r="47" spans="1:11" ht="15.75" customHeight="1" x14ac:dyDescent="0.3">
      <c r="A47" s="80" t="s">
        <v>552</v>
      </c>
      <c r="B47" s="80" t="s">
        <v>553</v>
      </c>
      <c r="C47" s="80" t="s">
        <v>88</v>
      </c>
      <c r="D47" s="92">
        <v>2103000</v>
      </c>
      <c r="E47" s="81">
        <v>43286</v>
      </c>
      <c r="F47" s="81">
        <v>43375</v>
      </c>
      <c r="G47" s="96">
        <f t="shared" si="1"/>
        <v>2018</v>
      </c>
      <c r="H47" s="96" t="s">
        <v>364</v>
      </c>
      <c r="I47" s="114"/>
      <c r="J47" s="96"/>
      <c r="K47" s="96"/>
    </row>
    <row r="48" spans="1:11" ht="15.75" customHeight="1" x14ac:dyDescent="0.3">
      <c r="A48" s="80" t="s">
        <v>488</v>
      </c>
      <c r="B48" s="80" t="s">
        <v>489</v>
      </c>
      <c r="C48" s="80" t="s">
        <v>88</v>
      </c>
      <c r="D48" s="92">
        <v>42000</v>
      </c>
      <c r="E48" s="81">
        <v>42966</v>
      </c>
      <c r="F48" s="81">
        <v>43374</v>
      </c>
      <c r="G48" s="96">
        <f t="shared" si="1"/>
        <v>2018</v>
      </c>
      <c r="H48" s="96" t="s">
        <v>364</v>
      </c>
      <c r="I48" s="114"/>
      <c r="J48" s="96"/>
      <c r="K48" s="96"/>
    </row>
    <row r="49" spans="1:11" ht="15.75" customHeight="1" x14ac:dyDescent="0.3">
      <c r="A49" s="82" t="s">
        <v>526</v>
      </c>
      <c r="B49" s="82" t="s">
        <v>525</v>
      </c>
      <c r="C49" s="80" t="s">
        <v>527</v>
      </c>
      <c r="D49" s="93">
        <v>358000</v>
      </c>
      <c r="E49" s="83">
        <v>41071</v>
      </c>
      <c r="F49" s="83">
        <v>43357</v>
      </c>
      <c r="G49" s="96">
        <f t="shared" si="1"/>
        <v>2018</v>
      </c>
      <c r="H49" s="96" t="s">
        <v>364</v>
      </c>
      <c r="I49" s="114"/>
      <c r="J49" s="96"/>
      <c r="K49" s="96"/>
    </row>
    <row r="50" spans="1:11" ht="15.75" customHeight="1" x14ac:dyDescent="0.3">
      <c r="A50" s="80" t="s">
        <v>490</v>
      </c>
      <c r="B50" s="80" t="s">
        <v>491</v>
      </c>
      <c r="C50" s="80" t="s">
        <v>88</v>
      </c>
      <c r="D50" s="92">
        <v>1372000</v>
      </c>
      <c r="E50" s="81">
        <v>42857</v>
      </c>
      <c r="F50" s="81">
        <v>43309</v>
      </c>
      <c r="G50" s="96">
        <f t="shared" si="1"/>
        <v>2018</v>
      </c>
      <c r="H50" s="96" t="s">
        <v>364</v>
      </c>
      <c r="I50" s="114"/>
      <c r="J50" s="96"/>
      <c r="K50" s="96"/>
    </row>
    <row r="51" spans="1:11" ht="15.75" customHeight="1" x14ac:dyDescent="0.3">
      <c r="A51" s="80" t="s">
        <v>533</v>
      </c>
      <c r="B51" s="80" t="s">
        <v>534</v>
      </c>
      <c r="C51" s="80" t="s">
        <v>45</v>
      </c>
      <c r="D51" s="92">
        <v>45000</v>
      </c>
      <c r="E51" s="81">
        <v>41876</v>
      </c>
      <c r="F51" s="81">
        <v>43281</v>
      </c>
      <c r="G51" s="96">
        <f t="shared" si="1"/>
        <v>2018</v>
      </c>
      <c r="H51" s="96" t="s">
        <v>364</v>
      </c>
      <c r="I51" s="114"/>
      <c r="J51" s="96"/>
      <c r="K51" s="96"/>
    </row>
    <row r="52" spans="1:11" ht="15.75" customHeight="1" x14ac:dyDescent="0.3">
      <c r="A52" s="82" t="s">
        <v>547</v>
      </c>
      <c r="B52" s="82" t="s">
        <v>548</v>
      </c>
      <c r="C52" s="84" t="s">
        <v>571</v>
      </c>
      <c r="D52" s="93">
        <v>498000</v>
      </c>
      <c r="E52" s="83">
        <v>39927</v>
      </c>
      <c r="F52" s="83">
        <v>43278</v>
      </c>
      <c r="G52" s="96">
        <f t="shared" si="1"/>
        <v>2018</v>
      </c>
      <c r="H52" s="96" t="s">
        <v>364</v>
      </c>
      <c r="I52" s="114"/>
      <c r="J52" s="96" t="s">
        <v>581</v>
      </c>
      <c r="K52" s="96">
        <v>36</v>
      </c>
    </row>
    <row r="53" spans="1:11" ht="15.75" customHeight="1" x14ac:dyDescent="0.3">
      <c r="A53" s="80" t="s">
        <v>535</v>
      </c>
      <c r="B53" s="80" t="s">
        <v>423</v>
      </c>
      <c r="C53" s="80" t="s">
        <v>88</v>
      </c>
      <c r="D53" s="92">
        <v>77000</v>
      </c>
      <c r="E53" s="81">
        <v>43259</v>
      </c>
      <c r="F53" s="81">
        <v>43276</v>
      </c>
      <c r="G53" s="96">
        <f t="shared" si="1"/>
        <v>2018</v>
      </c>
      <c r="H53" s="96" t="s">
        <v>364</v>
      </c>
      <c r="I53" s="114"/>
      <c r="J53" s="96" t="s">
        <v>581</v>
      </c>
      <c r="K53" s="96">
        <v>31</v>
      </c>
    </row>
    <row r="54" spans="1:11" ht="15.75" customHeight="1" x14ac:dyDescent="0.3">
      <c r="A54" s="80" t="s">
        <v>559</v>
      </c>
      <c r="B54" s="80" t="s">
        <v>423</v>
      </c>
      <c r="C54" s="80" t="s">
        <v>28</v>
      </c>
      <c r="D54" s="90">
        <v>1553000</v>
      </c>
      <c r="E54" s="81">
        <v>43250</v>
      </c>
      <c r="F54" s="81">
        <v>43276</v>
      </c>
      <c r="G54" s="96">
        <f t="shared" si="1"/>
        <v>2018</v>
      </c>
      <c r="H54" s="96" t="s">
        <v>364</v>
      </c>
      <c r="I54" s="114"/>
      <c r="J54" s="96"/>
      <c r="K54" s="96"/>
    </row>
    <row r="55" spans="1:11" ht="15.75" customHeight="1" x14ac:dyDescent="0.3">
      <c r="A55" s="80" t="s">
        <v>542</v>
      </c>
      <c r="B55" s="80" t="s">
        <v>543</v>
      </c>
      <c r="C55" s="80" t="s">
        <v>123</v>
      </c>
      <c r="D55" s="92">
        <v>125000</v>
      </c>
      <c r="E55" s="81">
        <v>43265</v>
      </c>
      <c r="F55" s="81">
        <v>43266</v>
      </c>
      <c r="G55" s="96">
        <f t="shared" si="1"/>
        <v>2018</v>
      </c>
      <c r="H55" s="96" t="s">
        <v>364</v>
      </c>
      <c r="I55" s="114"/>
      <c r="J55" s="96"/>
      <c r="K55" s="96"/>
    </row>
    <row r="56" spans="1:11" ht="15.75" customHeight="1" x14ac:dyDescent="0.3">
      <c r="A56" s="80" t="s">
        <v>528</v>
      </c>
      <c r="B56" s="80" t="s">
        <v>504</v>
      </c>
      <c r="C56" s="80" t="s">
        <v>88</v>
      </c>
      <c r="D56" s="92">
        <v>1071000</v>
      </c>
      <c r="E56" s="81">
        <v>43021</v>
      </c>
      <c r="F56" s="81">
        <v>43259</v>
      </c>
      <c r="G56" s="96">
        <f t="shared" si="1"/>
        <v>2018</v>
      </c>
      <c r="H56" s="96" t="s">
        <v>364</v>
      </c>
      <c r="I56" s="114"/>
      <c r="J56" s="96"/>
      <c r="K56" s="96"/>
    </row>
    <row r="57" spans="1:11" ht="15.75" customHeight="1" x14ac:dyDescent="0.3">
      <c r="A57" s="80" t="s">
        <v>471</v>
      </c>
      <c r="B57" s="80" t="s">
        <v>423</v>
      </c>
      <c r="C57" s="80" t="s">
        <v>454</v>
      </c>
      <c r="D57" s="92">
        <v>1126000</v>
      </c>
      <c r="E57" s="81">
        <v>42996</v>
      </c>
      <c r="F57" s="81">
        <v>43255</v>
      </c>
      <c r="G57" s="96">
        <f t="shared" si="1"/>
        <v>2018</v>
      </c>
      <c r="H57" s="96" t="s">
        <v>364</v>
      </c>
      <c r="I57" s="114"/>
      <c r="J57" s="96"/>
      <c r="K57" s="96"/>
    </row>
    <row r="58" spans="1:11" ht="15.75" customHeight="1" x14ac:dyDescent="0.3">
      <c r="A58" s="80" t="s">
        <v>499</v>
      </c>
      <c r="B58" s="80" t="s">
        <v>423</v>
      </c>
      <c r="C58" s="80" t="s">
        <v>28</v>
      </c>
      <c r="D58" s="92">
        <v>540000</v>
      </c>
      <c r="E58" s="81">
        <v>43240</v>
      </c>
      <c r="F58" s="81">
        <v>43255</v>
      </c>
      <c r="G58" s="96">
        <f t="shared" si="1"/>
        <v>2018</v>
      </c>
      <c r="H58" s="96" t="s">
        <v>364</v>
      </c>
      <c r="I58" s="114"/>
      <c r="J58" s="96"/>
      <c r="K58" s="96"/>
    </row>
    <row r="59" spans="1:11" ht="15.75" customHeight="1" x14ac:dyDescent="0.3">
      <c r="A59" s="80" t="s">
        <v>469</v>
      </c>
      <c r="B59" s="80" t="s">
        <v>423</v>
      </c>
      <c r="C59" s="80" t="s">
        <v>454</v>
      </c>
      <c r="D59" s="92">
        <v>298000</v>
      </c>
      <c r="E59" s="81">
        <v>43230</v>
      </c>
      <c r="F59" s="81">
        <v>43254</v>
      </c>
      <c r="G59" s="96">
        <f t="shared" si="1"/>
        <v>2018</v>
      </c>
      <c r="H59" s="96" t="s">
        <v>364</v>
      </c>
      <c r="I59" s="114"/>
      <c r="J59" s="96"/>
      <c r="K59" s="96"/>
    </row>
    <row r="60" spans="1:11" ht="15.75" customHeight="1" x14ac:dyDescent="0.3">
      <c r="A60" s="80" t="s">
        <v>532</v>
      </c>
      <c r="B60" s="80" t="s">
        <v>423</v>
      </c>
      <c r="C60" s="80" t="s">
        <v>88</v>
      </c>
      <c r="D60" s="92">
        <v>79000</v>
      </c>
      <c r="E60" s="81">
        <v>43244</v>
      </c>
      <c r="F60" s="81">
        <v>43245</v>
      </c>
      <c r="G60" s="96">
        <f t="shared" si="1"/>
        <v>2018</v>
      </c>
      <c r="H60" s="96" t="s">
        <v>364</v>
      </c>
      <c r="I60" s="114"/>
      <c r="J60" s="96" t="s">
        <v>581</v>
      </c>
      <c r="K60" s="96">
        <v>30</v>
      </c>
    </row>
    <row r="61" spans="1:11" ht="15.75" customHeight="1" x14ac:dyDescent="0.3">
      <c r="A61" s="80" t="s">
        <v>536</v>
      </c>
      <c r="B61" s="80" t="s">
        <v>537</v>
      </c>
      <c r="C61" s="80" t="s">
        <v>88</v>
      </c>
      <c r="D61" s="92">
        <v>2055000</v>
      </c>
      <c r="E61" s="81">
        <v>42967</v>
      </c>
      <c r="F61" s="81">
        <v>43228</v>
      </c>
      <c r="G61" s="96">
        <f t="shared" si="1"/>
        <v>2018</v>
      </c>
      <c r="H61" s="96" t="s">
        <v>364</v>
      </c>
      <c r="I61" s="114"/>
      <c r="J61" s="96" t="s">
        <v>581</v>
      </c>
      <c r="K61" s="96">
        <v>32</v>
      </c>
    </row>
    <row r="62" spans="1:11" ht="15.75" customHeight="1" x14ac:dyDescent="0.3">
      <c r="A62" s="80" t="s">
        <v>538</v>
      </c>
      <c r="B62" s="82" t="s">
        <v>423</v>
      </c>
      <c r="C62" s="82" t="s">
        <v>88</v>
      </c>
      <c r="D62" s="93">
        <v>198000</v>
      </c>
      <c r="E62" s="83">
        <v>43040</v>
      </c>
      <c r="F62" s="83">
        <v>43070</v>
      </c>
      <c r="G62" s="96">
        <f t="shared" si="1"/>
        <v>2017</v>
      </c>
      <c r="H62" s="96" t="s">
        <v>364</v>
      </c>
      <c r="I62" s="114"/>
      <c r="J62" s="96"/>
      <c r="K62" s="96"/>
    </row>
    <row r="63" spans="1:11" ht="15.75" customHeight="1" x14ac:dyDescent="0.3">
      <c r="A63" s="80" t="s">
        <v>554</v>
      </c>
      <c r="B63" s="80" t="s">
        <v>423</v>
      </c>
      <c r="C63" s="80" t="s">
        <v>88</v>
      </c>
      <c r="D63" s="92">
        <v>296000</v>
      </c>
      <c r="E63" s="81">
        <v>43026</v>
      </c>
      <c r="F63" s="81">
        <v>43056</v>
      </c>
      <c r="G63" s="96">
        <f t="shared" si="1"/>
        <v>2017</v>
      </c>
      <c r="H63" s="96" t="s">
        <v>364</v>
      </c>
      <c r="I63" s="114"/>
      <c r="J63" s="96"/>
      <c r="K63" s="96"/>
    </row>
    <row r="64" spans="1:11" ht="15.75" customHeight="1" x14ac:dyDescent="0.3">
      <c r="A64" s="80" t="s">
        <v>501</v>
      </c>
      <c r="B64" s="80" t="s">
        <v>423</v>
      </c>
      <c r="C64" s="80" t="s">
        <v>28</v>
      </c>
      <c r="D64" s="92">
        <v>308000</v>
      </c>
      <c r="E64" s="81">
        <v>43018</v>
      </c>
      <c r="F64" s="81">
        <v>43039</v>
      </c>
      <c r="G64" s="96">
        <f t="shared" si="1"/>
        <v>2017</v>
      </c>
      <c r="H64" s="96" t="s">
        <v>364</v>
      </c>
      <c r="I64" s="114"/>
      <c r="J64" s="96"/>
      <c r="K64" s="96"/>
    </row>
    <row r="65" spans="1:11" ht="15.75" customHeight="1" x14ac:dyDescent="0.3">
      <c r="A65" s="80" t="s">
        <v>455</v>
      </c>
      <c r="B65" s="80" t="s">
        <v>456</v>
      </c>
      <c r="C65" s="80" t="s">
        <v>457</v>
      </c>
      <c r="D65" s="90">
        <v>600000</v>
      </c>
      <c r="E65" s="81">
        <v>42782</v>
      </c>
      <c r="F65" s="81">
        <v>43036</v>
      </c>
      <c r="G65" s="96">
        <f t="shared" si="1"/>
        <v>2017</v>
      </c>
      <c r="H65" s="96" t="s">
        <v>364</v>
      </c>
      <c r="I65" s="114"/>
      <c r="J65" s="96" t="s">
        <v>581</v>
      </c>
      <c r="K65" s="96">
        <v>21</v>
      </c>
    </row>
    <row r="66" spans="1:11" ht="15.75" customHeight="1" x14ac:dyDescent="0.3">
      <c r="A66" s="80" t="s">
        <v>541</v>
      </c>
      <c r="B66" s="80" t="s">
        <v>423</v>
      </c>
      <c r="C66" s="80" t="s">
        <v>28</v>
      </c>
      <c r="D66" s="92">
        <v>2941000</v>
      </c>
      <c r="E66" s="81">
        <v>42957</v>
      </c>
      <c r="F66" s="81">
        <v>43014</v>
      </c>
      <c r="G66" s="96">
        <f t="shared" si="1"/>
        <v>2017</v>
      </c>
      <c r="H66" s="96" t="s">
        <v>364</v>
      </c>
      <c r="I66" s="114"/>
      <c r="J66" s="96" t="s">
        <v>581</v>
      </c>
      <c r="K66" s="96">
        <v>33</v>
      </c>
    </row>
    <row r="67" spans="1:11" ht="15.75" customHeight="1" x14ac:dyDescent="0.3">
      <c r="A67" s="80" t="s">
        <v>472</v>
      </c>
      <c r="B67" s="107" t="s">
        <v>473</v>
      </c>
      <c r="C67" s="80" t="s">
        <v>474</v>
      </c>
      <c r="D67" s="92">
        <v>23447000</v>
      </c>
      <c r="E67" s="81">
        <v>42660</v>
      </c>
      <c r="F67" s="81">
        <v>43005</v>
      </c>
      <c r="G67" s="96">
        <f t="shared" ref="G67:G88" si="2">YEAR(F67)</f>
        <v>2017</v>
      </c>
      <c r="H67" s="108"/>
      <c r="I67" s="115" t="s">
        <v>608</v>
      </c>
      <c r="J67" s="96" t="s">
        <v>581</v>
      </c>
      <c r="K67" s="96">
        <v>22</v>
      </c>
    </row>
    <row r="68" spans="1:11" ht="15.75" customHeight="1" x14ac:dyDescent="0.3">
      <c r="A68" s="80" t="s">
        <v>467</v>
      </c>
      <c r="B68" s="80" t="s">
        <v>468</v>
      </c>
      <c r="C68" s="80" t="s">
        <v>454</v>
      </c>
      <c r="D68" s="92">
        <v>234000</v>
      </c>
      <c r="E68" s="81">
        <v>42962</v>
      </c>
      <c r="F68" s="81">
        <v>43000</v>
      </c>
      <c r="G68" s="96">
        <f t="shared" si="2"/>
        <v>2017</v>
      </c>
      <c r="H68" s="96" t="s">
        <v>364</v>
      </c>
      <c r="I68" s="114"/>
      <c r="J68" s="96" t="s">
        <v>578</v>
      </c>
      <c r="K68" s="96">
        <v>14</v>
      </c>
    </row>
    <row r="69" spans="1:11" ht="15.75" customHeight="1" x14ac:dyDescent="0.3">
      <c r="A69" s="80" t="s">
        <v>490</v>
      </c>
      <c r="B69" s="80" t="s">
        <v>491</v>
      </c>
      <c r="C69" s="80" t="s">
        <v>88</v>
      </c>
      <c r="D69" s="92">
        <v>1430000</v>
      </c>
      <c r="E69" s="81">
        <v>42549</v>
      </c>
      <c r="F69" s="81">
        <v>42948</v>
      </c>
      <c r="G69" s="96">
        <f t="shared" si="2"/>
        <v>2017</v>
      </c>
      <c r="H69" s="96" t="s">
        <v>364</v>
      </c>
      <c r="I69" s="114"/>
      <c r="J69" s="96"/>
      <c r="K69" s="96"/>
    </row>
    <row r="70" spans="1:11" ht="15.75" customHeight="1" x14ac:dyDescent="0.3">
      <c r="A70" s="80" t="s">
        <v>516</v>
      </c>
      <c r="B70" s="80" t="s">
        <v>517</v>
      </c>
      <c r="C70" s="80" t="s">
        <v>45</v>
      </c>
      <c r="D70" s="92">
        <v>50000</v>
      </c>
      <c r="E70" s="81">
        <v>42527</v>
      </c>
      <c r="F70" s="81">
        <v>42947</v>
      </c>
      <c r="G70" s="96">
        <f t="shared" si="2"/>
        <v>2017</v>
      </c>
      <c r="H70" s="96" t="s">
        <v>364</v>
      </c>
      <c r="I70" s="114"/>
      <c r="J70" s="96"/>
      <c r="K70" s="96"/>
    </row>
    <row r="71" spans="1:11" ht="15.75" customHeight="1" x14ac:dyDescent="0.3">
      <c r="A71" s="80" t="s">
        <v>488</v>
      </c>
      <c r="B71" s="80" t="s">
        <v>489</v>
      </c>
      <c r="C71" s="80" t="s">
        <v>88</v>
      </c>
      <c r="D71" s="92">
        <v>41000</v>
      </c>
      <c r="E71" s="81">
        <v>42583</v>
      </c>
      <c r="F71" s="81">
        <v>42882</v>
      </c>
      <c r="G71" s="96">
        <f t="shared" si="2"/>
        <v>2017</v>
      </c>
      <c r="H71" s="96" t="s">
        <v>364</v>
      </c>
      <c r="I71" s="114"/>
      <c r="J71" s="96"/>
      <c r="K71" s="96"/>
    </row>
    <row r="72" spans="1:11" ht="15.75" customHeight="1" x14ac:dyDescent="0.3">
      <c r="A72" s="80" t="s">
        <v>551</v>
      </c>
      <c r="B72" s="80" t="s">
        <v>423</v>
      </c>
      <c r="C72" s="80" t="s">
        <v>88</v>
      </c>
      <c r="D72" s="92">
        <v>259000</v>
      </c>
      <c r="E72" s="81">
        <v>42856</v>
      </c>
      <c r="F72" s="81">
        <v>42872</v>
      </c>
      <c r="G72" s="96">
        <f t="shared" si="2"/>
        <v>2017</v>
      </c>
      <c r="H72" s="96" t="s">
        <v>364</v>
      </c>
      <c r="I72" s="114"/>
      <c r="J72" s="96"/>
      <c r="K72" s="96"/>
    </row>
    <row r="73" spans="1:11" ht="15.75" customHeight="1" x14ac:dyDescent="0.3">
      <c r="A73" s="80" t="s">
        <v>464</v>
      </c>
      <c r="B73" s="80" t="s">
        <v>461</v>
      </c>
      <c r="C73" s="80" t="s">
        <v>457</v>
      </c>
      <c r="D73" s="90">
        <v>290000</v>
      </c>
      <c r="E73" s="81">
        <v>42446</v>
      </c>
      <c r="F73" s="81">
        <v>42719</v>
      </c>
      <c r="G73" s="96">
        <f t="shared" si="2"/>
        <v>2016</v>
      </c>
      <c r="H73" s="96" t="s">
        <v>364</v>
      </c>
      <c r="I73" s="114"/>
      <c r="J73" s="96"/>
      <c r="K73" s="96"/>
    </row>
    <row r="74" spans="1:11" ht="15.75" customHeight="1" x14ac:dyDescent="0.3">
      <c r="A74" s="80" t="s">
        <v>502</v>
      </c>
      <c r="B74" s="80" t="s">
        <v>423</v>
      </c>
      <c r="C74" s="80" t="s">
        <v>28</v>
      </c>
      <c r="D74" s="92">
        <v>295000</v>
      </c>
      <c r="E74" s="81">
        <v>42587</v>
      </c>
      <c r="F74" s="81">
        <v>42719</v>
      </c>
      <c r="G74" s="96">
        <f t="shared" si="2"/>
        <v>2016</v>
      </c>
      <c r="H74" s="96" t="s">
        <v>364</v>
      </c>
      <c r="I74" s="114"/>
      <c r="J74" s="96"/>
      <c r="K74" s="96"/>
    </row>
    <row r="75" spans="1:11" ht="15.75" customHeight="1" x14ac:dyDescent="0.3">
      <c r="A75" s="80" t="s">
        <v>470</v>
      </c>
      <c r="B75" s="80" t="s">
        <v>423</v>
      </c>
      <c r="C75" s="80" t="s">
        <v>454</v>
      </c>
      <c r="D75" s="92">
        <v>297000</v>
      </c>
      <c r="E75" s="81">
        <v>42614</v>
      </c>
      <c r="F75" s="81">
        <v>42712</v>
      </c>
      <c r="G75" s="96">
        <f t="shared" si="2"/>
        <v>2016</v>
      </c>
      <c r="H75" s="96" t="s">
        <v>364</v>
      </c>
      <c r="I75" s="114"/>
      <c r="J75" s="96"/>
      <c r="K75" s="96"/>
    </row>
    <row r="76" spans="1:11" ht="15.75" customHeight="1" x14ac:dyDescent="0.3">
      <c r="A76" s="80" t="s">
        <v>557</v>
      </c>
      <c r="B76" s="80" t="s">
        <v>423</v>
      </c>
      <c r="C76" s="80" t="s">
        <v>28</v>
      </c>
      <c r="D76" s="90">
        <v>2812000</v>
      </c>
      <c r="E76" s="81">
        <v>42591</v>
      </c>
      <c r="F76" s="81">
        <v>42712</v>
      </c>
      <c r="G76" s="96">
        <f t="shared" si="2"/>
        <v>2016</v>
      </c>
      <c r="H76" s="96" t="s">
        <v>364</v>
      </c>
      <c r="I76" s="114"/>
      <c r="J76" s="96"/>
      <c r="K76" s="96"/>
    </row>
    <row r="77" spans="1:11" ht="15.75" customHeight="1" x14ac:dyDescent="0.3">
      <c r="A77" s="80" t="s">
        <v>545</v>
      </c>
      <c r="B77" s="107" t="s">
        <v>546</v>
      </c>
      <c r="C77" s="80" t="s">
        <v>28</v>
      </c>
      <c r="D77" s="92">
        <v>343000</v>
      </c>
      <c r="E77" s="81">
        <v>42611</v>
      </c>
      <c r="F77" s="81">
        <v>42661</v>
      </c>
      <c r="G77" s="96">
        <f t="shared" si="2"/>
        <v>2016</v>
      </c>
      <c r="H77" s="108"/>
      <c r="I77" s="115" t="s">
        <v>609</v>
      </c>
      <c r="J77" s="96" t="s">
        <v>581</v>
      </c>
      <c r="K77" s="96">
        <v>35</v>
      </c>
    </row>
    <row r="78" spans="1:11" ht="15.75" customHeight="1" x14ac:dyDescent="0.3">
      <c r="A78" s="80" t="s">
        <v>476</v>
      </c>
      <c r="B78" s="80" t="s">
        <v>423</v>
      </c>
      <c r="C78" s="80" t="s">
        <v>88</v>
      </c>
      <c r="D78" s="92">
        <v>509000</v>
      </c>
      <c r="E78" s="81">
        <v>42620</v>
      </c>
      <c r="F78" s="81">
        <v>42640</v>
      </c>
      <c r="G78" s="96">
        <f t="shared" si="2"/>
        <v>2016</v>
      </c>
      <c r="H78" s="96" t="s">
        <v>364</v>
      </c>
      <c r="I78" s="114"/>
      <c r="J78" s="96" t="s">
        <v>581</v>
      </c>
      <c r="K78" s="96">
        <v>23</v>
      </c>
    </row>
    <row r="79" spans="1:11" ht="15.75" customHeight="1" x14ac:dyDescent="0.3">
      <c r="A79" s="80" t="s">
        <v>610</v>
      </c>
      <c r="B79" s="107" t="s">
        <v>560</v>
      </c>
      <c r="C79" s="80" t="s">
        <v>28</v>
      </c>
      <c r="D79" s="90">
        <v>29699000</v>
      </c>
      <c r="E79" s="81">
        <v>42037</v>
      </c>
      <c r="F79" s="81">
        <v>42606</v>
      </c>
      <c r="G79" s="96">
        <f t="shared" si="2"/>
        <v>2016</v>
      </c>
      <c r="H79" s="108"/>
      <c r="I79" s="126" t="s">
        <v>611</v>
      </c>
      <c r="J79" s="96" t="s">
        <v>578</v>
      </c>
      <c r="K79" s="96">
        <v>16</v>
      </c>
    </row>
    <row r="80" spans="1:11" ht="15.75" customHeight="1" x14ac:dyDescent="0.3">
      <c r="A80" s="80" t="s">
        <v>522</v>
      </c>
      <c r="B80" s="80" t="s">
        <v>423</v>
      </c>
      <c r="C80" s="80" t="s">
        <v>523</v>
      </c>
      <c r="D80" s="92">
        <v>109000</v>
      </c>
      <c r="E80" s="81">
        <v>42543</v>
      </c>
      <c r="F80" s="81">
        <v>42605</v>
      </c>
      <c r="G80" s="96">
        <f t="shared" si="2"/>
        <v>2016</v>
      </c>
      <c r="H80" s="96" t="s">
        <v>364</v>
      </c>
      <c r="I80" s="114"/>
      <c r="J80" s="96"/>
      <c r="K80" s="96"/>
    </row>
    <row r="81" spans="1:11" ht="15.75" customHeight="1" x14ac:dyDescent="0.3">
      <c r="A81" s="80" t="s">
        <v>475</v>
      </c>
      <c r="B81" s="80" t="s">
        <v>423</v>
      </c>
      <c r="C81" s="80" t="s">
        <v>88</v>
      </c>
      <c r="D81" s="92">
        <v>254000</v>
      </c>
      <c r="E81" s="81">
        <v>42583</v>
      </c>
      <c r="F81" s="81">
        <v>42601</v>
      </c>
      <c r="G81" s="96">
        <f t="shared" si="2"/>
        <v>2016</v>
      </c>
      <c r="H81" s="96" t="s">
        <v>364</v>
      </c>
      <c r="I81" s="114"/>
      <c r="J81" s="96"/>
      <c r="K81" s="96"/>
    </row>
    <row r="82" spans="1:11" ht="15.75" customHeight="1" x14ac:dyDescent="0.3">
      <c r="A82" s="80" t="s">
        <v>493</v>
      </c>
      <c r="B82" s="80" t="s">
        <v>423</v>
      </c>
      <c r="C82" s="80" t="s">
        <v>495</v>
      </c>
      <c r="D82" s="92">
        <v>225000</v>
      </c>
      <c r="E82" s="81">
        <v>42522</v>
      </c>
      <c r="F82" s="81">
        <v>42594</v>
      </c>
      <c r="G82" s="96">
        <f t="shared" si="2"/>
        <v>2016</v>
      </c>
      <c r="H82" s="96" t="s">
        <v>364</v>
      </c>
      <c r="I82" s="114"/>
      <c r="J82" s="96"/>
      <c r="K82" s="96"/>
    </row>
    <row r="83" spans="1:11" ht="15.75" customHeight="1" x14ac:dyDescent="0.3">
      <c r="A83" s="80" t="s">
        <v>488</v>
      </c>
      <c r="B83" s="80" t="s">
        <v>489</v>
      </c>
      <c r="C83" s="80" t="s">
        <v>123</v>
      </c>
      <c r="D83" s="92">
        <v>1874000</v>
      </c>
      <c r="E83" s="81">
        <v>42186</v>
      </c>
      <c r="F83" s="81">
        <v>42583</v>
      </c>
      <c r="G83" s="96">
        <f t="shared" si="2"/>
        <v>2016</v>
      </c>
      <c r="H83" s="96" t="s">
        <v>364</v>
      </c>
      <c r="I83" s="114"/>
      <c r="J83" s="96"/>
      <c r="K83" s="96"/>
    </row>
    <row r="84" spans="1:11" ht="15.75" customHeight="1" x14ac:dyDescent="0.3">
      <c r="A84" s="80" t="s">
        <v>490</v>
      </c>
      <c r="B84" s="80" t="s">
        <v>491</v>
      </c>
      <c r="C84" s="80" t="s">
        <v>123</v>
      </c>
      <c r="D84" s="92">
        <v>1046000</v>
      </c>
      <c r="E84" s="81">
        <v>42109</v>
      </c>
      <c r="F84" s="81">
        <v>42583</v>
      </c>
      <c r="G84" s="96">
        <f t="shared" si="2"/>
        <v>2016</v>
      </c>
      <c r="H84" s="96" t="s">
        <v>364</v>
      </c>
      <c r="I84" s="114"/>
      <c r="J84" s="96"/>
      <c r="K84" s="96"/>
    </row>
    <row r="85" spans="1:11" ht="15.75" customHeight="1" x14ac:dyDescent="0.3">
      <c r="A85" s="80" t="s">
        <v>496</v>
      </c>
      <c r="B85" s="80" t="s">
        <v>497</v>
      </c>
      <c r="C85" s="80" t="s">
        <v>123</v>
      </c>
      <c r="D85" s="92">
        <v>379000</v>
      </c>
      <c r="E85" s="81">
        <v>42306</v>
      </c>
      <c r="F85" s="81">
        <v>42583</v>
      </c>
      <c r="G85" s="96">
        <f t="shared" si="2"/>
        <v>2016</v>
      </c>
      <c r="H85" s="96" t="s">
        <v>364</v>
      </c>
      <c r="I85" s="114"/>
      <c r="J85" s="96"/>
      <c r="K85" s="96"/>
    </row>
    <row r="86" spans="1:11" ht="15.75" customHeight="1" x14ac:dyDescent="0.3">
      <c r="A86" s="80" t="s">
        <v>540</v>
      </c>
      <c r="B86" s="80" t="s">
        <v>423</v>
      </c>
      <c r="C86" s="80" t="s">
        <v>523</v>
      </c>
      <c r="D86" s="92">
        <v>120000</v>
      </c>
      <c r="E86" s="81">
        <v>42542</v>
      </c>
      <c r="F86" s="81">
        <v>42583</v>
      </c>
      <c r="G86" s="96">
        <f t="shared" si="2"/>
        <v>2016</v>
      </c>
      <c r="H86" s="96" t="s">
        <v>364</v>
      </c>
      <c r="I86" s="114"/>
      <c r="J86" s="96"/>
      <c r="K86" s="96"/>
    </row>
    <row r="87" spans="1:11" ht="15.75" customHeight="1" x14ac:dyDescent="0.3">
      <c r="A87" s="80" t="s">
        <v>551</v>
      </c>
      <c r="B87" s="80" t="s">
        <v>423</v>
      </c>
      <c r="C87" s="80" t="s">
        <v>523</v>
      </c>
      <c r="D87" s="92">
        <v>157000</v>
      </c>
      <c r="E87" s="81">
        <v>42522</v>
      </c>
      <c r="F87" s="81">
        <v>42583</v>
      </c>
      <c r="G87" s="96">
        <f t="shared" si="2"/>
        <v>2016</v>
      </c>
      <c r="H87" s="96" t="s">
        <v>364</v>
      </c>
      <c r="I87" s="114"/>
      <c r="J87" s="96"/>
      <c r="K87" s="96"/>
    </row>
    <row r="88" spans="1:11" ht="15.75" customHeight="1" x14ac:dyDescent="0.3">
      <c r="A88" s="80" t="s">
        <v>564</v>
      </c>
      <c r="B88" s="80" t="s">
        <v>565</v>
      </c>
      <c r="C88" s="80" t="s">
        <v>45</v>
      </c>
      <c r="D88" s="90">
        <v>695000</v>
      </c>
      <c r="E88" s="81">
        <v>41993</v>
      </c>
      <c r="F88" s="81">
        <v>42578</v>
      </c>
      <c r="G88" s="122">
        <f t="shared" si="2"/>
        <v>2016</v>
      </c>
      <c r="H88" s="122" t="s">
        <v>364</v>
      </c>
      <c r="I88" s="123"/>
      <c r="J88" s="122" t="s">
        <v>578</v>
      </c>
      <c r="K88" s="122">
        <v>15</v>
      </c>
    </row>
    <row r="89" spans="1:11" ht="15.6" x14ac:dyDescent="0.3">
      <c r="A89" s="80" t="s">
        <v>673</v>
      </c>
      <c r="B89" s="80" t="s">
        <v>341</v>
      </c>
      <c r="C89" s="124" t="s">
        <v>674</v>
      </c>
      <c r="D89" s="90"/>
      <c r="E89" s="81"/>
      <c r="F89" s="124"/>
      <c r="G89" s="125"/>
      <c r="H89" s="125"/>
      <c r="J89" s="122" t="s">
        <v>578</v>
      </c>
      <c r="K89" s="122">
        <v>1</v>
      </c>
    </row>
    <row r="90" spans="1:11" ht="15.6" x14ac:dyDescent="0.3">
      <c r="A90" s="80" t="s">
        <v>675</v>
      </c>
      <c r="B90" s="80" t="s">
        <v>341</v>
      </c>
      <c r="C90" s="124" t="s">
        <v>676</v>
      </c>
      <c r="D90" s="90"/>
      <c r="E90" s="81"/>
      <c r="F90" s="124"/>
      <c r="G90" s="125"/>
      <c r="H90" s="125"/>
      <c r="J90" s="122" t="s">
        <v>578</v>
      </c>
      <c r="K90" s="122">
        <v>2</v>
      </c>
    </row>
    <row r="91" spans="1:11" ht="15.6" x14ac:dyDescent="0.3">
      <c r="A91" s="80" t="s">
        <v>677</v>
      </c>
      <c r="B91" s="80" t="s">
        <v>341</v>
      </c>
      <c r="C91" s="124" t="s">
        <v>678</v>
      </c>
      <c r="D91" s="90"/>
      <c r="E91" s="81"/>
      <c r="F91" s="124"/>
      <c r="G91" s="125"/>
      <c r="H91" s="125"/>
      <c r="J91" s="122" t="s">
        <v>578</v>
      </c>
      <c r="K91" s="122">
        <v>3</v>
      </c>
    </row>
    <row r="92" spans="1:11" ht="15.6" x14ac:dyDescent="0.3">
      <c r="A92" s="80" t="s">
        <v>679</v>
      </c>
      <c r="B92" s="80" t="s">
        <v>341</v>
      </c>
      <c r="C92" s="124" t="s">
        <v>680</v>
      </c>
      <c r="D92" s="90"/>
      <c r="E92" s="81"/>
      <c r="F92" s="124"/>
      <c r="G92" s="125"/>
      <c r="H92" s="125"/>
      <c r="J92" s="122" t="s">
        <v>578</v>
      </c>
      <c r="K92" s="122">
        <v>4</v>
      </c>
    </row>
    <row r="93" spans="1:11" ht="15.6" x14ac:dyDescent="0.3">
      <c r="A93" s="80" t="s">
        <v>681</v>
      </c>
      <c r="B93" s="80" t="s">
        <v>341</v>
      </c>
      <c r="C93" s="124" t="s">
        <v>196</v>
      </c>
      <c r="D93" s="90"/>
      <c r="E93" s="81"/>
      <c r="F93" s="124"/>
      <c r="G93" s="125"/>
      <c r="H93" s="125"/>
      <c r="J93" s="122" t="s">
        <v>578</v>
      </c>
      <c r="K93" s="122">
        <v>5</v>
      </c>
    </row>
    <row r="94" spans="1:11" ht="15.6" x14ac:dyDescent="0.3">
      <c r="A94" s="80" t="s">
        <v>682</v>
      </c>
      <c r="B94" s="80" t="s">
        <v>704</v>
      </c>
      <c r="C94" s="124" t="s">
        <v>683</v>
      </c>
      <c r="D94" s="90"/>
      <c r="E94" s="81"/>
      <c r="F94" s="124"/>
      <c r="G94" s="125"/>
      <c r="H94" s="125"/>
      <c r="J94" s="122" t="s">
        <v>578</v>
      </c>
      <c r="K94" s="122">
        <v>7</v>
      </c>
    </row>
    <row r="95" spans="1:11" ht="15.6" x14ac:dyDescent="0.3">
      <c r="A95" s="80" t="s">
        <v>684</v>
      </c>
      <c r="B95" s="80" t="s">
        <v>704</v>
      </c>
      <c r="C95" s="124" t="s">
        <v>685</v>
      </c>
      <c r="D95" s="90"/>
      <c r="E95" s="81"/>
      <c r="F95" s="124"/>
      <c r="G95" s="125"/>
      <c r="H95" s="125"/>
      <c r="J95" s="122" t="s">
        <v>578</v>
      </c>
      <c r="K95" s="122">
        <v>11</v>
      </c>
    </row>
    <row r="96" spans="1:11" ht="15.6" x14ac:dyDescent="0.3">
      <c r="A96" s="80" t="s">
        <v>686</v>
      </c>
      <c r="B96" s="80" t="s">
        <v>704</v>
      </c>
      <c r="C96" s="124" t="s">
        <v>687</v>
      </c>
      <c r="D96" s="90"/>
      <c r="E96" s="81"/>
      <c r="F96" s="124"/>
      <c r="G96" s="125"/>
      <c r="H96" s="125"/>
      <c r="J96" s="122" t="s">
        <v>578</v>
      </c>
      <c r="K96" s="122">
        <v>16</v>
      </c>
    </row>
    <row r="97" spans="1:11" ht="15.6" x14ac:dyDescent="0.3">
      <c r="A97" s="80" t="s">
        <v>688</v>
      </c>
      <c r="B97" s="80" t="s">
        <v>704</v>
      </c>
      <c r="C97" s="124" t="s">
        <v>689</v>
      </c>
      <c r="D97" s="90"/>
      <c r="E97" s="81"/>
      <c r="F97" s="124"/>
      <c r="G97" s="125"/>
      <c r="H97" s="125"/>
      <c r="J97" s="122" t="s">
        <v>578</v>
      </c>
      <c r="K97" s="122">
        <v>20</v>
      </c>
    </row>
    <row r="98" spans="1:11" ht="15.6" x14ac:dyDescent="0.3">
      <c r="A98" s="80" t="s">
        <v>690</v>
      </c>
      <c r="B98" s="80" t="s">
        <v>704</v>
      </c>
      <c r="C98" s="124" t="s">
        <v>691</v>
      </c>
      <c r="D98" s="90"/>
      <c r="E98" s="81"/>
      <c r="F98" s="124"/>
      <c r="G98" s="125"/>
      <c r="H98" s="125"/>
      <c r="J98" s="122" t="s">
        <v>578</v>
      </c>
      <c r="K98" s="122">
        <v>23</v>
      </c>
    </row>
    <row r="99" spans="1:11" ht="15.6" x14ac:dyDescent="0.3">
      <c r="A99" s="80" t="s">
        <v>692</v>
      </c>
      <c r="B99" s="80" t="s">
        <v>704</v>
      </c>
      <c r="C99" s="124" t="s">
        <v>694</v>
      </c>
      <c r="D99" s="90"/>
      <c r="E99" s="81"/>
      <c r="F99" s="124"/>
      <c r="G99" s="125"/>
      <c r="H99" s="125"/>
      <c r="J99" s="122" t="s">
        <v>578</v>
      </c>
      <c r="K99" s="122">
        <v>25</v>
      </c>
    </row>
    <row r="100" spans="1:11" ht="15.6" x14ac:dyDescent="0.3">
      <c r="A100" s="80" t="s">
        <v>695</v>
      </c>
      <c r="B100" s="80" t="s">
        <v>704</v>
      </c>
      <c r="C100" s="124" t="s">
        <v>693</v>
      </c>
      <c r="D100" s="90"/>
      <c r="E100" s="81"/>
      <c r="F100" s="124"/>
      <c r="G100" s="125"/>
      <c r="H100" s="125"/>
      <c r="J100" s="122" t="s">
        <v>578</v>
      </c>
      <c r="K100" s="122">
        <v>26</v>
      </c>
    </row>
    <row r="101" spans="1:11" ht="15.6" x14ac:dyDescent="0.3">
      <c r="A101" s="80" t="s">
        <v>696</v>
      </c>
      <c r="B101" s="80" t="s">
        <v>704</v>
      </c>
      <c r="C101" s="124" t="s">
        <v>697</v>
      </c>
      <c r="D101" s="90"/>
      <c r="E101" s="81"/>
      <c r="F101" s="124"/>
      <c r="G101" s="125"/>
      <c r="H101" s="125"/>
      <c r="J101" s="122" t="s">
        <v>578</v>
      </c>
      <c r="K101" s="122">
        <v>28</v>
      </c>
    </row>
    <row r="102" spans="1:11" ht="31.2" x14ac:dyDescent="0.3">
      <c r="A102" s="908" t="s">
        <v>698</v>
      </c>
      <c r="B102" s="908" t="s">
        <v>238</v>
      </c>
      <c r="C102" s="909" t="s">
        <v>699</v>
      </c>
      <c r="D102" s="910"/>
      <c r="E102" s="911"/>
      <c r="F102" s="909"/>
      <c r="G102" s="912"/>
      <c r="H102" s="912"/>
      <c r="J102" s="913" t="s">
        <v>578</v>
      </c>
      <c r="K102" s="913">
        <v>33</v>
      </c>
    </row>
    <row r="103" spans="1:11" ht="31.2" x14ac:dyDescent="0.3">
      <c r="A103" s="80" t="s">
        <v>700</v>
      </c>
      <c r="B103" s="80" t="s">
        <v>238</v>
      </c>
      <c r="C103" s="124" t="s">
        <v>701</v>
      </c>
      <c r="D103" s="90"/>
      <c r="E103" s="81"/>
      <c r="F103" s="124"/>
      <c r="G103" s="125"/>
      <c r="H103" s="125"/>
      <c r="I103" s="124"/>
      <c r="J103" s="122" t="s">
        <v>578</v>
      </c>
      <c r="K103" s="122">
        <v>34</v>
      </c>
    </row>
    <row r="104" spans="1:11" ht="31.2" x14ac:dyDescent="0.3">
      <c r="A104" s="80" t="s">
        <v>702</v>
      </c>
      <c r="B104" s="80" t="s">
        <v>238</v>
      </c>
      <c r="C104" s="124" t="s">
        <v>703</v>
      </c>
      <c r="D104" s="90"/>
      <c r="E104" s="81"/>
      <c r="F104" s="124"/>
      <c r="G104" s="125"/>
      <c r="H104" s="125"/>
      <c r="I104" s="124"/>
      <c r="J104" s="122" t="s">
        <v>578</v>
      </c>
      <c r="K104" s="122">
        <v>37</v>
      </c>
    </row>
    <row r="105" spans="1:11" ht="31.2" x14ac:dyDescent="0.3">
      <c r="A105" s="80" t="s">
        <v>305</v>
      </c>
      <c r="B105" s="80" t="s">
        <v>860</v>
      </c>
      <c r="C105" s="914" t="s">
        <v>304</v>
      </c>
      <c r="D105" s="90">
        <v>900000</v>
      </c>
      <c r="E105" s="81" t="s">
        <v>782</v>
      </c>
      <c r="F105" s="124" t="s">
        <v>871</v>
      </c>
      <c r="G105" s="125"/>
      <c r="H105" s="125"/>
      <c r="I105" s="124" t="s">
        <v>1061</v>
      </c>
      <c r="J105" s="122" t="s">
        <v>581</v>
      </c>
      <c r="K105" s="122">
        <v>27</v>
      </c>
    </row>
    <row r="106" spans="1:11" s="30" customFormat="1" ht="31.2" x14ac:dyDescent="0.3">
      <c r="A106" s="80" t="s">
        <v>1013</v>
      </c>
      <c r="B106" s="80" t="s">
        <v>238</v>
      </c>
      <c r="C106" s="915" t="s">
        <v>1130</v>
      </c>
      <c r="D106" s="916" t="s">
        <v>617</v>
      </c>
      <c r="E106" s="916" t="s">
        <v>1006</v>
      </c>
      <c r="F106" s="916"/>
      <c r="G106" s="916"/>
      <c r="H106" s="917"/>
      <c r="I106" s="918" t="s">
        <v>1338</v>
      </c>
      <c r="J106" s="122" t="s">
        <v>578</v>
      </c>
      <c r="K106" s="122">
        <v>129</v>
      </c>
    </row>
    <row r="107" spans="1:11" s="30" customFormat="1" ht="15.6" x14ac:dyDescent="0.3">
      <c r="A107" s="80" t="s">
        <v>1007</v>
      </c>
      <c r="B107" s="80" t="s">
        <v>704</v>
      </c>
      <c r="C107" s="915" t="s">
        <v>1125</v>
      </c>
      <c r="D107" s="916" t="s">
        <v>1001</v>
      </c>
      <c r="E107" s="916" t="s">
        <v>1003</v>
      </c>
      <c r="F107" s="916"/>
      <c r="G107" s="917"/>
      <c r="H107" s="917"/>
      <c r="I107" s="918" t="s">
        <v>1177</v>
      </c>
      <c r="J107" s="122" t="s">
        <v>578</v>
      </c>
      <c r="K107" s="917"/>
    </row>
    <row r="108" spans="1:11" s="30" customFormat="1" ht="15.6" x14ac:dyDescent="0.3">
      <c r="A108" s="80" t="s">
        <v>1008</v>
      </c>
      <c r="B108" s="80" t="s">
        <v>704</v>
      </c>
      <c r="C108" s="915" t="s">
        <v>1126</v>
      </c>
      <c r="D108" s="916" t="s">
        <v>1002</v>
      </c>
      <c r="E108" s="916" t="s">
        <v>1009</v>
      </c>
      <c r="F108" s="916"/>
      <c r="G108" s="917"/>
      <c r="H108" s="917"/>
      <c r="I108" s="918" t="s">
        <v>1177</v>
      </c>
      <c r="J108" s="122" t="s">
        <v>578</v>
      </c>
      <c r="K108" s="917"/>
    </row>
    <row r="109" spans="1:11" s="907" customFormat="1" ht="15.6" x14ac:dyDescent="0.3">
      <c r="A109" s="80" t="s">
        <v>757</v>
      </c>
      <c r="B109" s="80" t="s">
        <v>704</v>
      </c>
      <c r="C109" s="915" t="s">
        <v>1365</v>
      </c>
      <c r="D109" s="916" t="s">
        <v>614</v>
      </c>
      <c r="E109" s="916" t="s">
        <v>715</v>
      </c>
      <c r="F109" s="919"/>
      <c r="G109" s="919"/>
      <c r="H109" s="919"/>
      <c r="I109" s="920" t="s">
        <v>1364</v>
      </c>
      <c r="J109" s="122" t="s">
        <v>578</v>
      </c>
      <c r="K109" s="122">
        <v>12</v>
      </c>
    </row>
  </sheetData>
  <autoFilter ref="A2:K88" xr:uid="{7D4FC4EB-5BB3-4670-B6CC-F528F057D26E}"/>
  <conditionalFormatting sqref="F3:F88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6 D107:I109 K107:K108">
    <cfRule type="expression" dxfId="433" priority="19">
      <formula>MOD(ROW(),2)=0</formula>
    </cfRule>
  </conditionalFormatting>
  <conditionalFormatting sqref="C106">
    <cfRule type="expression" dxfId="432" priority="18">
      <formula>MOD(ROW(),2)=0</formula>
    </cfRule>
  </conditionalFormatting>
  <conditionalFormatting sqref="I107:I108">
    <cfRule type="expression" dxfId="431" priority="9">
      <formula>MOD(ROW(),2)=0</formula>
    </cfRule>
  </conditionalFormatting>
  <conditionalFormatting sqref="D106:E106 H106:I106">
    <cfRule type="expression" dxfId="430" priority="17">
      <formula>MOD(ROW(),2)=0</formula>
    </cfRule>
  </conditionalFormatting>
  <conditionalFormatting sqref="I106">
    <cfRule type="expression" dxfId="429" priority="16">
      <formula>MOD(ROW(),2)=0</formula>
    </cfRule>
  </conditionalFormatting>
  <conditionalFormatting sqref="D106">
    <cfRule type="expression" dxfId="428" priority="13">
      <formula>MOD(ROW(),2)=0</formula>
    </cfRule>
  </conditionalFormatting>
  <conditionalFormatting sqref="C107">
    <cfRule type="expression" dxfId="427" priority="4">
      <formula>MOD(ROW(),2)=0</formula>
    </cfRule>
  </conditionalFormatting>
  <conditionalFormatting sqref="C108">
    <cfRule type="expression" dxfId="426" priority="3">
      <formula>MOD(ROW(),2)=0</formula>
    </cfRule>
  </conditionalFormatting>
  <conditionalFormatting sqref="C109">
    <cfRule type="expression" dxfId="425" priority="1">
      <formula>MOD(ROW(),2)=0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0F41F-43F1-4769-A0C1-DA64E1439CF7}">
  <sheetPr>
    <tabColor theme="5"/>
  </sheetPr>
  <dimension ref="A1:AH52"/>
  <sheetViews>
    <sheetView workbookViewId="0"/>
  </sheetViews>
  <sheetFormatPr defaultColWidth="9.109375" defaultRowHeight="12" x14ac:dyDescent="0.25"/>
  <cols>
    <col min="1" max="2" width="15.88671875" style="10" customWidth="1"/>
    <col min="3" max="3" width="43.6640625" style="10" customWidth="1"/>
    <col min="4" max="4" width="3.6640625" style="10" customWidth="1"/>
    <col min="5" max="5" width="4.88671875" style="10" customWidth="1"/>
    <col min="6" max="6" width="14.109375" style="10" customWidth="1"/>
    <col min="7" max="7" width="12.33203125" style="10" customWidth="1"/>
    <col min="8" max="8" width="6.44140625" style="10" customWidth="1"/>
    <col min="9" max="9" width="15" style="10" customWidth="1"/>
    <col min="10" max="10" width="14.109375" style="25" customWidth="1"/>
    <col min="11" max="11" width="9.33203125" style="10" customWidth="1"/>
    <col min="12" max="12" width="7.33203125" style="10" customWidth="1"/>
    <col min="13" max="13" width="5.5546875" style="10" customWidth="1"/>
    <col min="14" max="14" width="12.6640625" style="26" customWidth="1"/>
    <col min="15" max="15" width="10" style="26" customWidth="1"/>
    <col min="16" max="16" width="35.109375" style="27" customWidth="1"/>
    <col min="17" max="17" width="11.33203125" style="10" hidden="1" customWidth="1"/>
    <col min="18" max="18" width="8.6640625" style="10" customWidth="1"/>
    <col min="19" max="19" width="8.33203125" style="10" hidden="1" customWidth="1"/>
    <col min="20" max="20" width="9.6640625" style="10" hidden="1" customWidth="1"/>
    <col min="21" max="21" width="10.109375" style="10" hidden="1" customWidth="1"/>
    <col min="22" max="22" width="14.109375" style="27" customWidth="1"/>
    <col min="23" max="23" width="10.5546875" style="27" bestFit="1" customWidth="1"/>
    <col min="24" max="24" width="5.88671875" style="27" customWidth="1"/>
    <col min="25" max="26" width="6.5546875" style="28" customWidth="1"/>
    <col min="27" max="27" width="14.6640625" style="28" bestFit="1" customWidth="1"/>
    <col min="28" max="32" width="9.109375" style="10"/>
    <col min="33" max="16384" width="9.109375" style="506"/>
  </cols>
  <sheetData>
    <row r="1" spans="1:32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4" t="s">
        <v>15</v>
      </c>
      <c r="Q1" s="5" t="s">
        <v>16</v>
      </c>
      <c r="R1" s="6" t="s">
        <v>17</v>
      </c>
      <c r="S1" s="6" t="s">
        <v>18</v>
      </c>
      <c r="T1" s="6" t="s">
        <v>19</v>
      </c>
      <c r="U1" s="5" t="s">
        <v>20</v>
      </c>
      <c r="V1" s="7" t="s">
        <v>365</v>
      </c>
      <c r="W1" s="8" t="s">
        <v>22</v>
      </c>
      <c r="X1" s="8" t="s">
        <v>23</v>
      </c>
      <c r="Y1" s="9" t="s">
        <v>24</v>
      </c>
      <c r="Z1" s="9" t="s">
        <v>372</v>
      </c>
      <c r="AA1" s="9" t="s">
        <v>363</v>
      </c>
    </row>
    <row r="2" spans="1:32" s="507" customFormat="1" x14ac:dyDescent="0.25">
      <c r="A2" s="13" t="s">
        <v>140</v>
      </c>
      <c r="B2" s="13" t="s">
        <v>141</v>
      </c>
      <c r="C2" s="13" t="s">
        <v>142</v>
      </c>
      <c r="D2" s="13"/>
      <c r="E2" s="13"/>
      <c r="F2" s="14">
        <v>2021</v>
      </c>
      <c r="G2" s="14" t="s">
        <v>28</v>
      </c>
      <c r="H2" s="14" t="s">
        <v>46</v>
      </c>
      <c r="I2" s="57">
        <v>5000</v>
      </c>
      <c r="J2" s="15">
        <v>5000</v>
      </c>
      <c r="K2" s="13" t="s">
        <v>143</v>
      </c>
      <c r="L2" s="14">
        <v>14.1</v>
      </c>
      <c r="M2" s="14">
        <v>0.28999999999999998</v>
      </c>
      <c r="N2" s="16" t="s">
        <v>31</v>
      </c>
      <c r="O2" s="16" t="s">
        <v>116</v>
      </c>
      <c r="P2" s="17" t="s">
        <v>144</v>
      </c>
      <c r="Q2" s="18">
        <v>44405</v>
      </c>
      <c r="R2" s="14"/>
      <c r="S2" s="19" t="s">
        <v>117</v>
      </c>
      <c r="T2" s="19" t="s">
        <v>118</v>
      </c>
      <c r="U2" s="20">
        <v>42242</v>
      </c>
      <c r="V2" s="58"/>
      <c r="W2" s="59" t="s">
        <v>145</v>
      </c>
      <c r="X2" s="59" t="s">
        <v>37</v>
      </c>
      <c r="Y2" s="60">
        <v>1</v>
      </c>
      <c r="Z2" s="60"/>
      <c r="AA2" s="60"/>
      <c r="AB2" s="22"/>
      <c r="AC2" s="22"/>
      <c r="AD2" s="22"/>
      <c r="AE2" s="22"/>
      <c r="AF2" s="22"/>
    </row>
    <row r="3" spans="1:32" s="507" customFormat="1" x14ac:dyDescent="0.25">
      <c r="A3" s="23" t="s">
        <v>77</v>
      </c>
      <c r="B3" s="23" t="s">
        <v>78</v>
      </c>
      <c r="C3" s="23" t="s">
        <v>79</v>
      </c>
      <c r="D3" s="23"/>
      <c r="E3" s="23"/>
      <c r="F3" s="61">
        <v>2020</v>
      </c>
      <c r="G3" s="61" t="s">
        <v>55</v>
      </c>
      <c r="H3" s="14" t="s">
        <v>29</v>
      </c>
      <c r="I3" s="57">
        <v>44800</v>
      </c>
      <c r="J3" s="15">
        <v>56000</v>
      </c>
      <c r="K3" s="13" t="s">
        <v>80</v>
      </c>
      <c r="L3" s="14">
        <v>0</v>
      </c>
      <c r="M3" s="14">
        <v>0.01</v>
      </c>
      <c r="N3" s="16" t="s">
        <v>57</v>
      </c>
      <c r="O3" s="16" t="s">
        <v>81</v>
      </c>
      <c r="P3" s="17" t="s">
        <v>82</v>
      </c>
      <c r="Q3" s="18">
        <v>44193</v>
      </c>
      <c r="R3" s="14"/>
      <c r="S3" s="19" t="s">
        <v>51</v>
      </c>
      <c r="T3" s="19" t="s">
        <v>83</v>
      </c>
      <c r="U3" s="20">
        <v>42242</v>
      </c>
      <c r="V3" s="58"/>
      <c r="W3" s="59" t="s">
        <v>84</v>
      </c>
      <c r="X3" s="59" t="s">
        <v>37</v>
      </c>
      <c r="Y3" s="60">
        <v>2</v>
      </c>
      <c r="Z3" s="60"/>
      <c r="AA3" s="60" t="s">
        <v>364</v>
      </c>
      <c r="AB3" s="22"/>
      <c r="AC3" s="22"/>
      <c r="AD3" s="22"/>
      <c r="AE3" s="22"/>
      <c r="AF3" s="22"/>
    </row>
    <row r="4" spans="1:32" s="508" customFormat="1" x14ac:dyDescent="0.25">
      <c r="A4" s="76" t="s">
        <v>157</v>
      </c>
      <c r="B4" s="76" t="s">
        <v>158</v>
      </c>
      <c r="C4" s="23" t="s">
        <v>159</v>
      </c>
      <c r="D4" s="23"/>
      <c r="E4" s="23"/>
      <c r="F4" s="14">
        <v>2021</v>
      </c>
      <c r="G4" s="14" t="s">
        <v>55</v>
      </c>
      <c r="H4" s="14" t="s">
        <v>29</v>
      </c>
      <c r="I4" s="57">
        <v>64000</v>
      </c>
      <c r="J4" s="15">
        <v>80000</v>
      </c>
      <c r="K4" s="13" t="s">
        <v>56</v>
      </c>
      <c r="L4" s="14">
        <v>0</v>
      </c>
      <c r="M4" s="14">
        <v>0</v>
      </c>
      <c r="N4" s="16" t="s">
        <v>57</v>
      </c>
      <c r="O4" s="16" t="s">
        <v>81</v>
      </c>
      <c r="P4" s="17" t="s">
        <v>160</v>
      </c>
      <c r="Q4" s="18">
        <v>44314</v>
      </c>
      <c r="R4" s="14"/>
      <c r="S4" s="19" t="s">
        <v>51</v>
      </c>
      <c r="T4" s="19" t="s">
        <v>59</v>
      </c>
      <c r="U4" s="20">
        <v>42272</v>
      </c>
      <c r="V4" s="58"/>
      <c r="W4" s="59" t="s">
        <v>161</v>
      </c>
      <c r="X4" s="59" t="s">
        <v>37</v>
      </c>
      <c r="Y4" s="60">
        <v>7</v>
      </c>
      <c r="Z4" s="60"/>
      <c r="AA4" s="60" t="s">
        <v>364</v>
      </c>
      <c r="AB4" s="74"/>
      <c r="AC4" s="74"/>
      <c r="AD4" s="74"/>
      <c r="AE4" s="74"/>
      <c r="AF4" s="74"/>
    </row>
    <row r="5" spans="1:32" s="507" customFormat="1" x14ac:dyDescent="0.25">
      <c r="A5" s="13" t="s">
        <v>94</v>
      </c>
      <c r="B5" s="13" t="s">
        <v>95</v>
      </c>
      <c r="C5" s="13" t="s">
        <v>96</v>
      </c>
      <c r="D5" s="13"/>
      <c r="E5" s="13"/>
      <c r="F5" s="14">
        <v>2021</v>
      </c>
      <c r="G5" s="14" t="s">
        <v>97</v>
      </c>
      <c r="H5" s="14" t="s">
        <v>29</v>
      </c>
      <c r="I5" s="57">
        <v>16000000</v>
      </c>
      <c r="J5" s="15">
        <v>20000000</v>
      </c>
      <c r="K5" s="13" t="s">
        <v>30</v>
      </c>
      <c r="L5" s="14">
        <v>156</v>
      </c>
      <c r="M5" s="14">
        <v>5</v>
      </c>
      <c r="N5" s="16" t="s">
        <v>31</v>
      </c>
      <c r="O5" s="16" t="s">
        <v>98</v>
      </c>
      <c r="P5" s="17" t="s">
        <v>99</v>
      </c>
      <c r="Q5" s="18">
        <v>44405</v>
      </c>
      <c r="R5" s="14"/>
      <c r="S5" s="19" t="s">
        <v>51</v>
      </c>
      <c r="T5" s="19" t="s">
        <v>100</v>
      </c>
      <c r="U5" s="20">
        <v>43185</v>
      </c>
      <c r="V5" s="58"/>
      <c r="W5" s="59" t="s">
        <v>101</v>
      </c>
      <c r="X5" s="59" t="s">
        <v>37</v>
      </c>
      <c r="Y5" s="60">
        <v>13</v>
      </c>
      <c r="Z5" s="60"/>
      <c r="AA5" s="60" t="s">
        <v>364</v>
      </c>
      <c r="AB5" s="22"/>
      <c r="AC5" s="22"/>
      <c r="AD5" s="22"/>
      <c r="AE5" s="22"/>
      <c r="AF5" s="22"/>
    </row>
    <row r="6" spans="1:32" s="507" customFormat="1" x14ac:dyDescent="0.25">
      <c r="A6" s="128" t="s">
        <v>94</v>
      </c>
      <c r="B6" s="128" t="s">
        <v>95</v>
      </c>
      <c r="C6" s="13" t="s">
        <v>96</v>
      </c>
      <c r="D6" s="13"/>
      <c r="E6" s="13"/>
      <c r="F6" s="14">
        <v>2021</v>
      </c>
      <c r="G6" s="14" t="s">
        <v>28</v>
      </c>
      <c r="H6" s="14" t="s">
        <v>29</v>
      </c>
      <c r="I6" s="57">
        <v>4000000</v>
      </c>
      <c r="J6" s="15">
        <v>5000000</v>
      </c>
      <c r="K6" s="13" t="s">
        <v>30</v>
      </c>
      <c r="L6" s="14">
        <v>156</v>
      </c>
      <c r="M6" s="14">
        <v>5</v>
      </c>
      <c r="N6" s="16" t="s">
        <v>31</v>
      </c>
      <c r="O6" s="16" t="s">
        <v>98</v>
      </c>
      <c r="P6" s="17" t="s">
        <v>99</v>
      </c>
      <c r="Q6" s="18">
        <v>44405</v>
      </c>
      <c r="R6" s="72"/>
      <c r="S6" s="19" t="s">
        <v>51</v>
      </c>
      <c r="T6" s="19" t="s">
        <v>100</v>
      </c>
      <c r="U6" s="19" t="s">
        <v>102</v>
      </c>
      <c r="V6" s="62"/>
      <c r="W6" s="59" t="s">
        <v>101</v>
      </c>
      <c r="X6" s="59" t="s">
        <v>37</v>
      </c>
      <c r="Y6" s="60">
        <v>13</v>
      </c>
      <c r="Z6" s="60"/>
      <c r="AA6" s="60" t="s">
        <v>364</v>
      </c>
      <c r="AB6" s="22"/>
      <c r="AC6" s="22"/>
      <c r="AD6" s="22"/>
      <c r="AE6" s="22"/>
      <c r="AF6" s="22"/>
    </row>
    <row r="7" spans="1:32" s="507" customFormat="1" x14ac:dyDescent="0.25">
      <c r="A7" s="128" t="s">
        <v>25</v>
      </c>
      <c r="B7" s="128" t="s">
        <v>26</v>
      </c>
      <c r="C7" s="13" t="s">
        <v>27</v>
      </c>
      <c r="D7" s="13"/>
      <c r="E7" s="13"/>
      <c r="F7" s="14">
        <v>2020</v>
      </c>
      <c r="G7" s="14" t="s">
        <v>28</v>
      </c>
      <c r="H7" s="14" t="s">
        <v>29</v>
      </c>
      <c r="I7" s="57">
        <v>11970000</v>
      </c>
      <c r="J7" s="15">
        <v>13300000</v>
      </c>
      <c r="K7" s="13" t="s">
        <v>30</v>
      </c>
      <c r="L7" s="14">
        <v>143.80000000000001</v>
      </c>
      <c r="M7" s="14">
        <v>0.03</v>
      </c>
      <c r="N7" s="16" t="s">
        <v>31</v>
      </c>
      <c r="O7" s="16" t="s">
        <v>32</v>
      </c>
      <c r="P7" s="17" t="s">
        <v>33</v>
      </c>
      <c r="Q7" s="18">
        <v>44010</v>
      </c>
      <c r="R7" s="72"/>
      <c r="S7" s="19" t="s">
        <v>34</v>
      </c>
      <c r="T7" s="19" t="s">
        <v>35</v>
      </c>
      <c r="U7" s="20">
        <v>43626</v>
      </c>
      <c r="V7" s="58"/>
      <c r="W7" s="59" t="s">
        <v>36</v>
      </c>
      <c r="X7" s="59" t="s">
        <v>37</v>
      </c>
      <c r="Y7" s="60">
        <v>16</v>
      </c>
      <c r="Z7" s="60"/>
      <c r="AA7" s="60" t="s">
        <v>364</v>
      </c>
      <c r="AB7" s="22"/>
      <c r="AC7" s="22"/>
      <c r="AD7" s="22"/>
      <c r="AE7" s="22"/>
      <c r="AF7" s="22"/>
    </row>
    <row r="8" spans="1:32" s="508" customFormat="1" x14ac:dyDescent="0.25">
      <c r="A8" s="129" t="s">
        <v>25</v>
      </c>
      <c r="B8" s="129" t="s">
        <v>26</v>
      </c>
      <c r="C8" s="13" t="s">
        <v>38</v>
      </c>
      <c r="D8" s="13"/>
      <c r="E8" s="13"/>
      <c r="F8" s="14">
        <v>2020</v>
      </c>
      <c r="G8" s="14" t="s">
        <v>28</v>
      </c>
      <c r="H8" s="14" t="s">
        <v>29</v>
      </c>
      <c r="I8" s="13" t="s">
        <v>39</v>
      </c>
      <c r="J8" s="15">
        <v>13300000</v>
      </c>
      <c r="K8" s="13" t="s">
        <v>30</v>
      </c>
      <c r="L8" s="14">
        <v>143.80000000000001</v>
      </c>
      <c r="M8" s="14">
        <v>0.03</v>
      </c>
      <c r="N8" s="16" t="s">
        <v>31</v>
      </c>
      <c r="O8" s="16" t="s">
        <v>32</v>
      </c>
      <c r="P8" s="17" t="s">
        <v>33</v>
      </c>
      <c r="Q8" s="18">
        <v>43760</v>
      </c>
      <c r="R8" s="72"/>
      <c r="S8" s="19" t="s">
        <v>40</v>
      </c>
      <c r="T8" s="19" t="s">
        <v>41</v>
      </c>
      <c r="U8" s="20">
        <v>43626</v>
      </c>
      <c r="V8" s="21"/>
      <c r="W8" s="59" t="s">
        <v>36</v>
      </c>
      <c r="X8" s="59" t="s">
        <v>37</v>
      </c>
      <c r="Y8" s="60">
        <v>16</v>
      </c>
      <c r="Z8" s="60"/>
      <c r="AA8" s="60" t="s">
        <v>364</v>
      </c>
      <c r="AB8" s="74"/>
      <c r="AC8" s="74"/>
      <c r="AD8" s="74"/>
      <c r="AE8" s="74"/>
      <c r="AF8" s="74"/>
    </row>
    <row r="9" spans="1:32" s="507" customFormat="1" x14ac:dyDescent="0.25">
      <c r="A9" s="128" t="s">
        <v>146</v>
      </c>
      <c r="B9" s="128" t="s">
        <v>147</v>
      </c>
      <c r="C9" s="13" t="s">
        <v>148</v>
      </c>
      <c r="D9" s="13"/>
      <c r="E9" s="13"/>
      <c r="F9" s="14">
        <v>2021</v>
      </c>
      <c r="G9" s="14" t="s">
        <v>28</v>
      </c>
      <c r="H9" s="14" t="s">
        <v>114</v>
      </c>
      <c r="I9" s="57">
        <v>2400000</v>
      </c>
      <c r="J9" s="15">
        <v>3000000</v>
      </c>
      <c r="K9" s="13" t="s">
        <v>143</v>
      </c>
      <c r="L9" s="14">
        <v>13.24</v>
      </c>
      <c r="M9" s="14">
        <v>0.1</v>
      </c>
      <c r="N9" s="16" t="s">
        <v>31</v>
      </c>
      <c r="O9" s="16" t="s">
        <v>116</v>
      </c>
      <c r="P9" s="17" t="s">
        <v>129</v>
      </c>
      <c r="Q9" s="18">
        <v>44224</v>
      </c>
      <c r="R9" s="72"/>
      <c r="S9" s="19" t="s">
        <v>149</v>
      </c>
      <c r="T9" s="19" t="s">
        <v>150</v>
      </c>
      <c r="U9" s="20">
        <v>43185</v>
      </c>
      <c r="V9" s="21" t="s">
        <v>151</v>
      </c>
      <c r="W9" s="59" t="s">
        <v>152</v>
      </c>
      <c r="X9" s="59" t="s">
        <v>37</v>
      </c>
      <c r="Y9" s="60">
        <v>19</v>
      </c>
      <c r="Z9" s="60"/>
      <c r="AA9" s="60"/>
      <c r="AB9" s="22"/>
      <c r="AC9" s="22"/>
      <c r="AD9" s="22"/>
      <c r="AE9" s="22"/>
      <c r="AF9" s="22"/>
    </row>
    <row r="10" spans="1:32" s="507" customFormat="1" x14ac:dyDescent="0.25">
      <c r="A10" s="128" t="s">
        <v>189</v>
      </c>
      <c r="B10" s="128" t="s">
        <v>190</v>
      </c>
      <c r="C10" s="24" t="s">
        <v>191</v>
      </c>
      <c r="D10" s="13"/>
      <c r="E10" s="13"/>
      <c r="F10" s="14">
        <v>2022</v>
      </c>
      <c r="G10" s="14" t="s">
        <v>28</v>
      </c>
      <c r="H10" s="14" t="s">
        <v>29</v>
      </c>
      <c r="I10" s="57">
        <v>6100000</v>
      </c>
      <c r="J10" s="15">
        <v>8000000</v>
      </c>
      <c r="K10" s="13" t="s">
        <v>143</v>
      </c>
      <c r="L10" s="14">
        <v>11.44</v>
      </c>
      <c r="M10" s="14">
        <v>0.4</v>
      </c>
      <c r="N10" s="16" t="s">
        <v>31</v>
      </c>
      <c r="O10" s="16" t="s">
        <v>116</v>
      </c>
      <c r="P10" s="17" t="s">
        <v>192</v>
      </c>
      <c r="Q10" s="18">
        <v>44740</v>
      </c>
      <c r="R10" s="72"/>
      <c r="S10" s="19" t="s">
        <v>130</v>
      </c>
      <c r="T10" s="19" t="s">
        <v>118</v>
      </c>
      <c r="U10" s="20">
        <v>43934</v>
      </c>
      <c r="V10" s="21" t="s">
        <v>193</v>
      </c>
      <c r="W10" s="59" t="s">
        <v>194</v>
      </c>
      <c r="X10" s="59" t="s">
        <v>37</v>
      </c>
      <c r="Y10" s="60">
        <v>20</v>
      </c>
      <c r="Z10" s="60"/>
      <c r="AA10" s="60"/>
      <c r="AB10" s="22"/>
      <c r="AC10" s="22"/>
      <c r="AD10" s="22"/>
      <c r="AE10" s="22"/>
      <c r="AF10" s="22"/>
    </row>
    <row r="11" spans="1:32" s="507" customFormat="1" x14ac:dyDescent="0.25">
      <c r="A11" s="128" t="s">
        <v>91</v>
      </c>
      <c r="B11" s="128" t="s">
        <v>86</v>
      </c>
      <c r="C11" s="23" t="s">
        <v>87</v>
      </c>
      <c r="D11" s="23"/>
      <c r="E11" s="23"/>
      <c r="F11" s="61">
        <v>2021</v>
      </c>
      <c r="G11" s="61" t="s">
        <v>88</v>
      </c>
      <c r="H11" s="61" t="s">
        <v>29</v>
      </c>
      <c r="I11" s="63">
        <v>1100000</v>
      </c>
      <c r="J11" s="64">
        <v>1100000</v>
      </c>
      <c r="K11" s="23" t="s">
        <v>30</v>
      </c>
      <c r="L11" s="61">
        <v>152.5</v>
      </c>
      <c r="M11" s="61">
        <v>0.09</v>
      </c>
      <c r="N11" s="16" t="s">
        <v>31</v>
      </c>
      <c r="O11" s="16" t="s">
        <v>32</v>
      </c>
      <c r="P11" s="65" t="s">
        <v>89</v>
      </c>
      <c r="Q11" s="66">
        <v>44436</v>
      </c>
      <c r="R11" s="73"/>
      <c r="S11" s="19" t="s">
        <v>34</v>
      </c>
      <c r="T11" s="19" t="s">
        <v>92</v>
      </c>
      <c r="U11" s="20">
        <v>44000</v>
      </c>
      <c r="V11" s="58"/>
      <c r="W11" s="59" t="s">
        <v>93</v>
      </c>
      <c r="X11" s="59" t="s">
        <v>37</v>
      </c>
      <c r="Y11" s="60">
        <v>34</v>
      </c>
      <c r="Z11" s="60"/>
      <c r="AA11" s="60" t="s">
        <v>364</v>
      </c>
      <c r="AB11" s="22"/>
      <c r="AC11" s="22"/>
      <c r="AD11" s="22"/>
      <c r="AE11" s="22"/>
      <c r="AF11" s="22"/>
    </row>
    <row r="12" spans="1:32" s="507" customFormat="1" x14ac:dyDescent="0.25">
      <c r="A12" s="128" t="s">
        <v>132</v>
      </c>
      <c r="B12" s="128" t="s">
        <v>72</v>
      </c>
      <c r="C12" s="23" t="s">
        <v>133</v>
      </c>
      <c r="D12" s="23"/>
      <c r="E12" s="23"/>
      <c r="F12" s="61">
        <v>2021</v>
      </c>
      <c r="G12" s="61" t="s">
        <v>134</v>
      </c>
      <c r="H12" s="61" t="s">
        <v>29</v>
      </c>
      <c r="I12" s="63">
        <v>15000000</v>
      </c>
      <c r="J12" s="64">
        <v>15000000</v>
      </c>
      <c r="K12" s="23" t="s">
        <v>135</v>
      </c>
      <c r="L12" s="61">
        <v>0</v>
      </c>
      <c r="M12" s="61">
        <v>0.94</v>
      </c>
      <c r="N12" s="16" t="s">
        <v>31</v>
      </c>
      <c r="O12" s="16" t="s">
        <v>116</v>
      </c>
      <c r="P12" s="65" t="s">
        <v>136</v>
      </c>
      <c r="Q12" s="68">
        <v>44375</v>
      </c>
      <c r="R12" s="72"/>
      <c r="S12" s="67" t="s">
        <v>137</v>
      </c>
      <c r="T12" s="67" t="s">
        <v>138</v>
      </c>
      <c r="U12" s="66">
        <v>43934</v>
      </c>
      <c r="V12" s="69"/>
      <c r="W12" s="70"/>
      <c r="X12" s="59" t="s">
        <v>139</v>
      </c>
      <c r="Y12" s="60">
        <v>44</v>
      </c>
      <c r="Z12" s="60"/>
      <c r="AA12" s="60"/>
      <c r="AB12" s="22"/>
      <c r="AC12" s="22"/>
      <c r="AD12" s="22"/>
      <c r="AE12" s="22"/>
      <c r="AF12" s="22"/>
    </row>
    <row r="13" spans="1:32" s="507" customFormat="1" x14ac:dyDescent="0.25">
      <c r="A13" s="128" t="s">
        <v>60</v>
      </c>
      <c r="B13" s="128" t="s">
        <v>61</v>
      </c>
      <c r="C13" s="13" t="s">
        <v>62</v>
      </c>
      <c r="D13" s="13"/>
      <c r="E13" s="13"/>
      <c r="F13" s="14">
        <v>2020</v>
      </c>
      <c r="G13" s="14" t="s">
        <v>55</v>
      </c>
      <c r="H13" s="14" t="s">
        <v>46</v>
      </c>
      <c r="I13" s="57">
        <v>14400</v>
      </c>
      <c r="J13" s="15">
        <v>18000</v>
      </c>
      <c r="K13" s="13" t="s">
        <v>56</v>
      </c>
      <c r="L13" s="14">
        <v>0</v>
      </c>
      <c r="M13" s="14">
        <v>0</v>
      </c>
      <c r="N13" s="16" t="s">
        <v>57</v>
      </c>
      <c r="O13" s="16" t="s">
        <v>49</v>
      </c>
      <c r="P13" s="17" t="s">
        <v>63</v>
      </c>
      <c r="Q13" s="13"/>
      <c r="R13" s="72"/>
      <c r="S13" s="19" t="s">
        <v>64</v>
      </c>
      <c r="T13" s="19" t="s">
        <v>65</v>
      </c>
      <c r="U13" s="20">
        <v>43126</v>
      </c>
      <c r="V13" s="58"/>
      <c r="W13" s="130" t="s">
        <v>362</v>
      </c>
      <c r="X13" s="59"/>
      <c r="Y13" s="60"/>
      <c r="Z13" s="60"/>
      <c r="AA13" s="60" t="s">
        <v>364</v>
      </c>
      <c r="AB13" s="22"/>
      <c r="AC13" s="22"/>
      <c r="AD13" s="22"/>
      <c r="AE13" s="22"/>
      <c r="AF13" s="22"/>
    </row>
    <row r="14" spans="1:32" s="507" customFormat="1" x14ac:dyDescent="0.25">
      <c r="A14" s="23" t="s">
        <v>85</v>
      </c>
      <c r="B14" s="23" t="s">
        <v>86</v>
      </c>
      <c r="C14" s="23" t="s">
        <v>87</v>
      </c>
      <c r="D14" s="23"/>
      <c r="E14" s="23"/>
      <c r="F14" s="61">
        <v>2021</v>
      </c>
      <c r="G14" s="61" t="s">
        <v>88</v>
      </c>
      <c r="H14" s="61" t="s">
        <v>46</v>
      </c>
      <c r="I14" s="71">
        <v>1175000</v>
      </c>
      <c r="J14" s="64">
        <v>1175000</v>
      </c>
      <c r="K14" s="23" t="s">
        <v>30</v>
      </c>
      <c r="L14" s="61">
        <v>152.53</v>
      </c>
      <c r="M14" s="61">
        <v>0.09</v>
      </c>
      <c r="N14" s="16" t="s">
        <v>31</v>
      </c>
      <c r="O14" s="16" t="s">
        <v>32</v>
      </c>
      <c r="P14" s="65" t="s">
        <v>89</v>
      </c>
      <c r="Q14" s="66">
        <v>44151</v>
      </c>
      <c r="R14" s="73"/>
      <c r="S14" s="67" t="s">
        <v>34</v>
      </c>
      <c r="T14" s="67" t="s">
        <v>90</v>
      </c>
      <c r="U14" s="66">
        <v>44126</v>
      </c>
      <c r="V14" s="69"/>
      <c r="W14" s="130"/>
      <c r="X14" s="59"/>
      <c r="Y14" s="60"/>
      <c r="Z14" s="60"/>
      <c r="AA14" s="60" t="s">
        <v>364</v>
      </c>
      <c r="AB14" s="22"/>
      <c r="AC14" s="22"/>
      <c r="AD14" s="22"/>
      <c r="AE14" s="22"/>
      <c r="AF14" s="22"/>
    </row>
    <row r="15" spans="1:32" s="507" customFormat="1" x14ac:dyDescent="0.25">
      <c r="A15" s="13" t="s">
        <v>107</v>
      </c>
      <c r="B15" s="13" t="s">
        <v>108</v>
      </c>
      <c r="C15" s="13" t="s">
        <v>109</v>
      </c>
      <c r="D15" s="13"/>
      <c r="E15" s="13"/>
      <c r="F15" s="14">
        <v>2021</v>
      </c>
      <c r="G15" s="14" t="s">
        <v>28</v>
      </c>
      <c r="H15" s="14" t="s">
        <v>46</v>
      </c>
      <c r="I15" s="57">
        <v>90000</v>
      </c>
      <c r="J15" s="15">
        <v>100000</v>
      </c>
      <c r="K15" s="13" t="s">
        <v>30</v>
      </c>
      <c r="L15" s="14">
        <v>154</v>
      </c>
      <c r="M15" s="14">
        <v>1</v>
      </c>
      <c r="N15" s="16" t="s">
        <v>31</v>
      </c>
      <c r="O15" s="16" t="s">
        <v>105</v>
      </c>
      <c r="P15" s="17" t="s">
        <v>110</v>
      </c>
      <c r="Q15" s="18">
        <v>44405</v>
      </c>
      <c r="R15" s="72"/>
      <c r="S15" s="19" t="s">
        <v>34</v>
      </c>
      <c r="T15" s="19" t="s">
        <v>90</v>
      </c>
      <c r="U15" s="20">
        <v>42914</v>
      </c>
      <c r="V15" s="58"/>
      <c r="W15" s="130"/>
      <c r="X15" s="59"/>
      <c r="Y15" s="60"/>
      <c r="Z15" s="60"/>
      <c r="AA15" s="60"/>
      <c r="AB15" s="22"/>
      <c r="AC15" s="22"/>
      <c r="AD15" s="22"/>
      <c r="AE15" s="22"/>
      <c r="AF15" s="22"/>
    </row>
    <row r="16" spans="1:32" s="507" customFormat="1" x14ac:dyDescent="0.25">
      <c r="A16" s="13" t="s">
        <v>94</v>
      </c>
      <c r="B16" s="13" t="s">
        <v>95</v>
      </c>
      <c r="C16" s="13" t="s">
        <v>174</v>
      </c>
      <c r="D16" s="13"/>
      <c r="E16" s="13"/>
      <c r="F16" s="14">
        <v>2022</v>
      </c>
      <c r="G16" s="14" t="s">
        <v>88</v>
      </c>
      <c r="H16" s="14" t="s">
        <v>29</v>
      </c>
      <c r="I16" s="57">
        <v>16000000</v>
      </c>
      <c r="J16" s="15">
        <v>20000000</v>
      </c>
      <c r="K16" s="13" t="s">
        <v>30</v>
      </c>
      <c r="L16" s="14">
        <v>156</v>
      </c>
      <c r="M16" s="14">
        <v>5</v>
      </c>
      <c r="N16" s="16" t="s">
        <v>31</v>
      </c>
      <c r="O16" s="16" t="s">
        <v>98</v>
      </c>
      <c r="P16" s="17" t="s">
        <v>99</v>
      </c>
      <c r="Q16" s="18">
        <v>44770</v>
      </c>
      <c r="R16" s="72"/>
      <c r="S16" s="19" t="s">
        <v>175</v>
      </c>
      <c r="T16" s="19" t="s">
        <v>100</v>
      </c>
      <c r="U16" s="20">
        <v>43185</v>
      </c>
      <c r="V16" s="58"/>
      <c r="W16" s="130"/>
      <c r="X16" s="59"/>
      <c r="Y16" s="60"/>
      <c r="Z16" s="60"/>
      <c r="AA16" s="60"/>
      <c r="AB16" s="22"/>
      <c r="AC16" s="22"/>
      <c r="AD16" s="22"/>
      <c r="AE16" s="22"/>
      <c r="AF16" s="22"/>
    </row>
    <row r="17" spans="1:32" s="507" customFormat="1" x14ac:dyDescent="0.25">
      <c r="A17" s="13" t="s">
        <v>94</v>
      </c>
      <c r="B17" s="13" t="s">
        <v>95</v>
      </c>
      <c r="C17" s="13" t="s">
        <v>174</v>
      </c>
      <c r="D17" s="13"/>
      <c r="E17" s="13"/>
      <c r="F17" s="14">
        <v>2022</v>
      </c>
      <c r="G17" s="14" t="s">
        <v>28</v>
      </c>
      <c r="H17" s="14" t="s">
        <v>29</v>
      </c>
      <c r="I17" s="57">
        <v>4000000</v>
      </c>
      <c r="J17" s="15">
        <v>5000000</v>
      </c>
      <c r="K17" s="13" t="s">
        <v>30</v>
      </c>
      <c r="L17" s="14">
        <v>156</v>
      </c>
      <c r="M17" s="14">
        <v>5</v>
      </c>
      <c r="N17" s="16" t="s">
        <v>31</v>
      </c>
      <c r="O17" s="16" t="s">
        <v>98</v>
      </c>
      <c r="P17" s="17" t="s">
        <v>99</v>
      </c>
      <c r="Q17" s="18">
        <v>44770</v>
      </c>
      <c r="R17" s="72"/>
      <c r="S17" s="19" t="s">
        <v>51</v>
      </c>
      <c r="T17" s="19" t="s">
        <v>100</v>
      </c>
      <c r="U17" s="20">
        <v>43185</v>
      </c>
      <c r="V17" s="58"/>
      <c r="W17" s="130"/>
      <c r="X17" s="59"/>
      <c r="Y17" s="60"/>
      <c r="Z17" s="60"/>
      <c r="AA17" s="60"/>
      <c r="AB17" s="22"/>
      <c r="AC17" s="22"/>
      <c r="AD17" s="22"/>
      <c r="AE17" s="22"/>
      <c r="AF17" s="22"/>
    </row>
    <row r="18" spans="1:32" s="507" customFormat="1" x14ac:dyDescent="0.25">
      <c r="A18" s="13" t="s">
        <v>176</v>
      </c>
      <c r="B18" s="13" t="s">
        <v>108</v>
      </c>
      <c r="C18" s="13" t="s">
        <v>109</v>
      </c>
      <c r="D18" s="13"/>
      <c r="E18" s="13"/>
      <c r="F18" s="14">
        <v>2022</v>
      </c>
      <c r="G18" s="14" t="s">
        <v>28</v>
      </c>
      <c r="H18" s="14" t="s">
        <v>29</v>
      </c>
      <c r="I18" s="57">
        <v>1000000</v>
      </c>
      <c r="J18" s="15">
        <v>1000000</v>
      </c>
      <c r="K18" s="13" t="s">
        <v>30</v>
      </c>
      <c r="L18" s="14">
        <v>154</v>
      </c>
      <c r="M18" s="14">
        <v>1</v>
      </c>
      <c r="N18" s="16" t="s">
        <v>31</v>
      </c>
      <c r="O18" s="16" t="s">
        <v>105</v>
      </c>
      <c r="P18" s="17" t="s">
        <v>110</v>
      </c>
      <c r="Q18" s="18">
        <v>44620</v>
      </c>
      <c r="R18" s="72"/>
      <c r="S18" s="19" t="s">
        <v>34</v>
      </c>
      <c r="T18" s="19" t="s">
        <v>90</v>
      </c>
      <c r="U18" s="20">
        <v>42914</v>
      </c>
      <c r="V18" s="58"/>
      <c r="W18" s="130"/>
      <c r="X18" s="59"/>
      <c r="Y18" s="60"/>
      <c r="Z18" s="60"/>
      <c r="AA18" s="60"/>
      <c r="AB18" s="22"/>
      <c r="AC18" s="22"/>
      <c r="AD18" s="22"/>
      <c r="AE18" s="22"/>
      <c r="AF18" s="22"/>
    </row>
    <row r="19" spans="1:32" s="508" customFormat="1" x14ac:dyDescent="0.25">
      <c r="A19" s="76" t="s">
        <v>187</v>
      </c>
      <c r="B19" s="76" t="s">
        <v>141</v>
      </c>
      <c r="C19" s="23" t="s">
        <v>142</v>
      </c>
      <c r="D19" s="23"/>
      <c r="E19" s="23"/>
      <c r="F19" s="61">
        <v>2022</v>
      </c>
      <c r="G19" s="61" t="s">
        <v>28</v>
      </c>
      <c r="H19" s="14" t="s">
        <v>114</v>
      </c>
      <c r="I19" s="57">
        <v>1000</v>
      </c>
      <c r="J19" s="15">
        <v>1000</v>
      </c>
      <c r="K19" s="13" t="s">
        <v>143</v>
      </c>
      <c r="L19" s="14">
        <v>14.1</v>
      </c>
      <c r="M19" s="14">
        <v>0.28999999999999998</v>
      </c>
      <c r="N19" s="16" t="s">
        <v>31</v>
      </c>
      <c r="O19" s="16" t="s">
        <v>116</v>
      </c>
      <c r="P19" s="17" t="s">
        <v>144</v>
      </c>
      <c r="Q19" s="18">
        <v>44497</v>
      </c>
      <c r="R19" s="72"/>
      <c r="S19" s="19" t="s">
        <v>117</v>
      </c>
      <c r="T19" s="19" t="s">
        <v>118</v>
      </c>
      <c r="U19" s="20">
        <v>42242</v>
      </c>
      <c r="V19" s="58"/>
      <c r="W19" s="130"/>
      <c r="X19" s="59"/>
      <c r="Y19" s="60"/>
      <c r="Z19" s="60"/>
      <c r="AA19" s="60"/>
      <c r="AB19" s="74"/>
      <c r="AC19" s="74"/>
      <c r="AD19" s="74"/>
      <c r="AE19" s="74"/>
      <c r="AF19" s="74"/>
    </row>
    <row r="20" spans="1:32" s="507" customFormat="1" x14ac:dyDescent="0.25">
      <c r="A20" s="13" t="s">
        <v>188</v>
      </c>
      <c r="B20" s="13" t="s">
        <v>141</v>
      </c>
      <c r="C20" s="13" t="s">
        <v>142</v>
      </c>
      <c r="D20" s="13"/>
      <c r="E20" s="13"/>
      <c r="F20" s="14">
        <v>2022</v>
      </c>
      <c r="G20" s="14" t="s">
        <v>28</v>
      </c>
      <c r="H20" s="14" t="s">
        <v>29</v>
      </c>
      <c r="I20" s="57">
        <v>577000</v>
      </c>
      <c r="J20" s="15">
        <v>577000</v>
      </c>
      <c r="K20" s="13" t="s">
        <v>143</v>
      </c>
      <c r="L20" s="14">
        <v>14.1</v>
      </c>
      <c r="M20" s="14">
        <v>0.28999999999999998</v>
      </c>
      <c r="N20" s="16" t="s">
        <v>31</v>
      </c>
      <c r="O20" s="16" t="s">
        <v>116</v>
      </c>
      <c r="P20" s="17" t="s">
        <v>144</v>
      </c>
      <c r="Q20" s="18">
        <v>44801</v>
      </c>
      <c r="R20" s="72"/>
      <c r="S20" s="19" t="s">
        <v>117</v>
      </c>
      <c r="T20" s="19" t="s">
        <v>118</v>
      </c>
      <c r="U20" s="20">
        <v>42242</v>
      </c>
      <c r="V20" s="58"/>
      <c r="W20" s="130"/>
      <c r="X20" s="59"/>
      <c r="Y20" s="60"/>
      <c r="Z20" s="60"/>
      <c r="AA20" s="60"/>
      <c r="AB20" s="22"/>
      <c r="AC20" s="22"/>
      <c r="AD20" s="22"/>
      <c r="AE20" s="22"/>
      <c r="AF20" s="22"/>
    </row>
    <row r="21" spans="1:32" s="507" customFormat="1" x14ac:dyDescent="0.25">
      <c r="A21" s="23" t="s">
        <v>203</v>
      </c>
      <c r="B21" s="23" t="s">
        <v>204</v>
      </c>
      <c r="C21" s="23" t="s">
        <v>205</v>
      </c>
      <c r="D21" s="23"/>
      <c r="E21" s="23"/>
      <c r="F21" s="14">
        <v>2022</v>
      </c>
      <c r="G21" s="14" t="s">
        <v>55</v>
      </c>
      <c r="H21" s="14" t="s">
        <v>29</v>
      </c>
      <c r="I21" s="57">
        <v>78615</v>
      </c>
      <c r="J21" s="15">
        <v>98269</v>
      </c>
      <c r="K21" s="13" t="s">
        <v>80</v>
      </c>
      <c r="L21" s="14">
        <v>0</v>
      </c>
      <c r="M21" s="14">
        <v>0</v>
      </c>
      <c r="N21" s="16" t="s">
        <v>57</v>
      </c>
      <c r="O21" s="16" t="s">
        <v>81</v>
      </c>
      <c r="P21" s="17" t="s">
        <v>206</v>
      </c>
      <c r="Q21" s="18">
        <v>44648</v>
      </c>
      <c r="R21" s="72"/>
      <c r="S21" s="19" t="s">
        <v>51</v>
      </c>
      <c r="T21" s="19" t="s">
        <v>59</v>
      </c>
      <c r="U21" s="20">
        <v>42272</v>
      </c>
      <c r="V21" s="58"/>
      <c r="W21" s="130" t="s">
        <v>362</v>
      </c>
      <c r="X21" s="59"/>
      <c r="Y21" s="60"/>
      <c r="Z21" s="60"/>
      <c r="AA21" s="60" t="s">
        <v>364</v>
      </c>
      <c r="AB21" s="22"/>
      <c r="AC21" s="22"/>
      <c r="AD21" s="22"/>
      <c r="AE21" s="22"/>
      <c r="AF21" s="22"/>
    </row>
    <row r="22" spans="1:32" s="507" customFormat="1" x14ac:dyDescent="0.25">
      <c r="A22" s="13" t="s">
        <v>94</v>
      </c>
      <c r="B22" s="13" t="s">
        <v>95</v>
      </c>
      <c r="C22" s="13" t="s">
        <v>174</v>
      </c>
      <c r="D22" s="13"/>
      <c r="E22" s="13"/>
      <c r="F22" s="14">
        <v>2023</v>
      </c>
      <c r="G22" s="14" t="s">
        <v>88</v>
      </c>
      <c r="H22" s="14" t="s">
        <v>29</v>
      </c>
      <c r="I22" s="57">
        <v>16000000</v>
      </c>
      <c r="J22" s="15">
        <v>20000000</v>
      </c>
      <c r="K22" s="13" t="s">
        <v>30</v>
      </c>
      <c r="L22" s="14">
        <v>156</v>
      </c>
      <c r="M22" s="14">
        <v>5</v>
      </c>
      <c r="N22" s="16" t="s">
        <v>31</v>
      </c>
      <c r="O22" s="16" t="s">
        <v>98</v>
      </c>
      <c r="P22" s="17" t="s">
        <v>99</v>
      </c>
      <c r="Q22" s="18">
        <v>45135</v>
      </c>
      <c r="R22" s="72"/>
      <c r="S22" s="19" t="s">
        <v>51</v>
      </c>
      <c r="T22" s="19" t="s">
        <v>100</v>
      </c>
      <c r="U22" s="20">
        <v>43185</v>
      </c>
      <c r="V22" s="58"/>
      <c r="W22" s="130"/>
      <c r="X22" s="59"/>
      <c r="Y22" s="60"/>
      <c r="Z22" s="60"/>
      <c r="AA22" s="60"/>
      <c r="AB22" s="22"/>
      <c r="AC22" s="22"/>
      <c r="AD22" s="22"/>
      <c r="AE22" s="22"/>
      <c r="AF22" s="22"/>
    </row>
    <row r="23" spans="1:32" s="508" customFormat="1" x14ac:dyDescent="0.25">
      <c r="A23" s="75" t="s">
        <v>94</v>
      </c>
      <c r="B23" s="75" t="s">
        <v>95</v>
      </c>
      <c r="C23" s="13" t="s">
        <v>174</v>
      </c>
      <c r="D23" s="13"/>
      <c r="E23" s="13"/>
      <c r="F23" s="14">
        <v>2023</v>
      </c>
      <c r="G23" s="14" t="s">
        <v>223</v>
      </c>
      <c r="H23" s="14" t="s">
        <v>29</v>
      </c>
      <c r="I23" s="57">
        <v>4000000</v>
      </c>
      <c r="J23" s="15">
        <v>5000000</v>
      </c>
      <c r="K23" s="13" t="s">
        <v>30</v>
      </c>
      <c r="L23" s="14">
        <v>156</v>
      </c>
      <c r="M23" s="14">
        <v>5</v>
      </c>
      <c r="N23" s="16" t="s">
        <v>31</v>
      </c>
      <c r="O23" s="16" t="s">
        <v>98</v>
      </c>
      <c r="P23" s="17" t="s">
        <v>99</v>
      </c>
      <c r="Q23" s="18">
        <v>45135</v>
      </c>
      <c r="R23" s="72"/>
      <c r="S23" s="19" t="s">
        <v>51</v>
      </c>
      <c r="T23" s="19" t="s">
        <v>100</v>
      </c>
      <c r="U23" s="20">
        <v>43185</v>
      </c>
      <c r="V23" s="58"/>
      <c r="W23" s="130"/>
      <c r="X23" s="59"/>
      <c r="Y23" s="60"/>
      <c r="Z23" s="60"/>
      <c r="AA23" s="60"/>
      <c r="AB23" s="74"/>
      <c r="AC23" s="74"/>
      <c r="AD23" s="74"/>
      <c r="AE23" s="74"/>
      <c r="AF23" s="74"/>
    </row>
    <row r="24" spans="1:32" s="507" customFormat="1" x14ac:dyDescent="0.25">
      <c r="A24" s="13" t="s">
        <v>94</v>
      </c>
      <c r="B24" s="13" t="s">
        <v>95</v>
      </c>
      <c r="C24" s="13" t="s">
        <v>174</v>
      </c>
      <c r="D24" s="13"/>
      <c r="E24" s="13"/>
      <c r="F24" s="14">
        <v>2024</v>
      </c>
      <c r="G24" s="14" t="s">
        <v>88</v>
      </c>
      <c r="H24" s="14" t="s">
        <v>29</v>
      </c>
      <c r="I24" s="57">
        <v>16000000</v>
      </c>
      <c r="J24" s="15">
        <v>20000000</v>
      </c>
      <c r="K24" s="13" t="s">
        <v>30</v>
      </c>
      <c r="L24" s="14">
        <v>156</v>
      </c>
      <c r="M24" s="14">
        <v>5</v>
      </c>
      <c r="N24" s="16" t="s">
        <v>31</v>
      </c>
      <c r="O24" s="16" t="s">
        <v>98</v>
      </c>
      <c r="P24" s="17" t="s">
        <v>99</v>
      </c>
      <c r="Q24" s="18">
        <v>45501</v>
      </c>
      <c r="R24" s="72"/>
      <c r="S24" s="19" t="s">
        <v>51</v>
      </c>
      <c r="T24" s="19" t="s">
        <v>100</v>
      </c>
      <c r="U24" s="20">
        <v>43185</v>
      </c>
      <c r="V24" s="58"/>
      <c r="W24" s="130"/>
      <c r="X24" s="59"/>
      <c r="Y24" s="60"/>
      <c r="Z24" s="60"/>
      <c r="AA24" s="60"/>
      <c r="AB24" s="22"/>
      <c r="AC24" s="22"/>
      <c r="AD24" s="22"/>
      <c r="AE24" s="22"/>
      <c r="AF24" s="22"/>
    </row>
    <row r="25" spans="1:32" s="507" customFormat="1" x14ac:dyDescent="0.25">
      <c r="A25" s="13" t="s">
        <v>94</v>
      </c>
      <c r="B25" s="13" t="s">
        <v>95</v>
      </c>
      <c r="C25" s="13" t="s">
        <v>174</v>
      </c>
      <c r="D25" s="13"/>
      <c r="E25" s="13"/>
      <c r="F25" s="14">
        <v>2024</v>
      </c>
      <c r="G25" s="14" t="s">
        <v>223</v>
      </c>
      <c r="H25" s="14" t="s">
        <v>29</v>
      </c>
      <c r="I25" s="57">
        <v>4000000</v>
      </c>
      <c r="J25" s="15">
        <v>5000000</v>
      </c>
      <c r="K25" s="13" t="s">
        <v>30</v>
      </c>
      <c r="L25" s="14">
        <v>156</v>
      </c>
      <c r="M25" s="14">
        <v>5</v>
      </c>
      <c r="N25" s="16" t="s">
        <v>31</v>
      </c>
      <c r="O25" s="16" t="s">
        <v>98</v>
      </c>
      <c r="P25" s="17" t="s">
        <v>99</v>
      </c>
      <c r="Q25" s="18">
        <v>45501</v>
      </c>
      <c r="R25" s="72"/>
      <c r="S25" s="19" t="s">
        <v>51</v>
      </c>
      <c r="T25" s="19" t="s">
        <v>100</v>
      </c>
      <c r="U25" s="20">
        <v>43185</v>
      </c>
      <c r="V25" s="58"/>
      <c r="W25" s="130"/>
      <c r="X25" s="59"/>
      <c r="Y25" s="60"/>
      <c r="Z25" s="60"/>
      <c r="AA25" s="60"/>
      <c r="AB25" s="22"/>
      <c r="AC25" s="22"/>
      <c r="AD25" s="22"/>
      <c r="AE25" s="22"/>
      <c r="AF25" s="22"/>
    </row>
    <row r="27" spans="1:32" x14ac:dyDescent="0.25">
      <c r="N27" s="127" t="s">
        <v>708</v>
      </c>
    </row>
    <row r="28" spans="1:32" x14ac:dyDescent="0.25">
      <c r="F28" s="10">
        <v>2020</v>
      </c>
      <c r="G28" s="10" t="s">
        <v>234</v>
      </c>
      <c r="O28" s="26" t="s">
        <v>604</v>
      </c>
    </row>
    <row r="29" spans="1:32" x14ac:dyDescent="0.25">
      <c r="G29" s="10" t="s">
        <v>235</v>
      </c>
    </row>
    <row r="30" spans="1:32" x14ac:dyDescent="0.25">
      <c r="N30" s="127" t="s">
        <v>709</v>
      </c>
    </row>
    <row r="31" spans="1:32" ht="24" x14ac:dyDescent="0.25">
      <c r="A31" s="1" t="str">
        <f t="shared" ref="A31:AA31" si="0">A1</f>
        <v>Federal ID</v>
      </c>
      <c r="B31" s="1" t="str">
        <f t="shared" si="0"/>
        <v>State ID</v>
      </c>
      <c r="C31" s="1" t="str">
        <f t="shared" si="0"/>
        <v>Project Name</v>
      </c>
      <c r="D31" s="1" t="str">
        <f t="shared" si="0"/>
        <v>From</v>
      </c>
      <c r="E31" s="1" t="str">
        <f t="shared" si="0"/>
        <v>To</v>
      </c>
      <c r="F31" s="1" t="str">
        <f t="shared" si="0"/>
        <v>FFY</v>
      </c>
      <c r="G31" s="1" t="str">
        <f t="shared" si="0"/>
        <v>Funding Source</v>
      </c>
      <c r="H31" s="1" t="str">
        <f t="shared" si="0"/>
        <v>Phase</v>
      </c>
      <c r="I31" s="2" t="str">
        <f t="shared" si="0"/>
        <v>Federal Funds</v>
      </c>
      <c r="J31" s="2" t="str">
        <f t="shared" si="0"/>
        <v>Total Funds</v>
      </c>
      <c r="K31" s="1" t="str">
        <f t="shared" si="0"/>
        <v>Route</v>
      </c>
      <c r="L31" s="1" t="str">
        <f t="shared" si="0"/>
        <v>BMP</v>
      </c>
      <c r="M31" s="1" t="str">
        <f t="shared" si="0"/>
        <v>Miles</v>
      </c>
      <c r="N31" s="3" t="str">
        <f t="shared" si="0"/>
        <v>Mode</v>
      </c>
      <c r="O31" s="3" t="str">
        <f t="shared" si="0"/>
        <v>Category</v>
      </c>
      <c r="P31" s="4" t="str">
        <f t="shared" si="0"/>
        <v>Type of Work</v>
      </c>
      <c r="Q31" s="5" t="str">
        <f t="shared" si="0"/>
        <v>Obligation Date</v>
      </c>
      <c r="R31" s="6" t="str">
        <f t="shared" si="0"/>
        <v>Staus[i]</v>
      </c>
      <c r="S31" s="6" t="str">
        <f t="shared" si="0"/>
        <v>PM[ii]</v>
      </c>
      <c r="T31" s="6" t="str">
        <f t="shared" si="0"/>
        <v>MPO Goals[iii]</v>
      </c>
      <c r="U31" s="5" t="str">
        <f t="shared" si="0"/>
        <v>Date of Approval</v>
      </c>
      <c r="V31" s="7" t="str">
        <f t="shared" si="0"/>
        <v>Note / Status</v>
      </c>
      <c r="W31" s="8" t="str">
        <f t="shared" si="0"/>
        <v>Project_ID</v>
      </c>
      <c r="X31" s="8" t="str">
        <f t="shared" si="0"/>
        <v>GIS File</v>
      </c>
      <c r="Y31" s="9" t="str">
        <f t="shared" si="0"/>
        <v>GIS OID</v>
      </c>
      <c r="Z31" s="9" t="str">
        <f t="shared" si="0"/>
        <v>KMZ Map ID</v>
      </c>
      <c r="AA31" s="9" t="str">
        <f t="shared" si="0"/>
        <v>Regional Model</v>
      </c>
    </row>
    <row r="32" spans="1:32" ht="13.8" x14ac:dyDescent="0.3">
      <c r="A32" s="131" t="s">
        <v>107</v>
      </c>
      <c r="B32" s="131" t="s">
        <v>332</v>
      </c>
      <c r="C32" s="132" t="s">
        <v>333</v>
      </c>
      <c r="D32" s="74"/>
      <c r="E32" s="74"/>
      <c r="F32" s="74"/>
      <c r="G32" s="74" t="s">
        <v>28</v>
      </c>
      <c r="H32" s="74" t="s">
        <v>37</v>
      </c>
      <c r="I32" s="74"/>
      <c r="J32" s="133"/>
      <c r="K32" s="74" t="s">
        <v>30</v>
      </c>
      <c r="L32" s="74"/>
      <c r="M32" s="74"/>
      <c r="N32" s="134" t="s">
        <v>31</v>
      </c>
      <c r="O32" s="134" t="s">
        <v>98</v>
      </c>
      <c r="P32" s="135" t="s">
        <v>706</v>
      </c>
      <c r="Q32" s="74"/>
      <c r="R32" s="74" t="s">
        <v>707</v>
      </c>
      <c r="S32" s="74"/>
      <c r="T32" s="74"/>
      <c r="U32" s="74"/>
      <c r="V32" s="135"/>
      <c r="W32" s="136" t="str">
        <f>O32</f>
        <v>Interchange</v>
      </c>
      <c r="X32" s="135" t="s">
        <v>37</v>
      </c>
      <c r="Y32" s="137">
        <v>11</v>
      </c>
      <c r="Z32" s="137"/>
      <c r="AA32" s="137"/>
    </row>
    <row r="33" spans="1:34" ht="13.8" x14ac:dyDescent="0.3">
      <c r="A33" s="131" t="s">
        <v>220</v>
      </c>
      <c r="B33" s="131" t="s">
        <v>330</v>
      </c>
      <c r="C33" s="131" t="s">
        <v>331</v>
      </c>
      <c r="D33" s="74"/>
      <c r="E33" s="74"/>
      <c r="F33" s="74"/>
      <c r="G33" s="74" t="s">
        <v>710</v>
      </c>
      <c r="H33" s="74" t="s">
        <v>37</v>
      </c>
      <c r="I33" s="74"/>
      <c r="J33" s="133"/>
      <c r="K33" s="74" t="s">
        <v>584</v>
      </c>
      <c r="L33" s="74"/>
      <c r="M33" s="74"/>
      <c r="N33" s="134" t="s">
        <v>31</v>
      </c>
      <c r="O33" s="134" t="s">
        <v>105</v>
      </c>
      <c r="P33" s="135" t="s">
        <v>711</v>
      </c>
      <c r="Q33" s="74"/>
      <c r="R33" s="74" t="s">
        <v>712</v>
      </c>
      <c r="S33" s="74"/>
      <c r="T33" s="74"/>
      <c r="U33" s="74"/>
      <c r="V33" s="135"/>
      <c r="W33" s="135" t="s">
        <v>222</v>
      </c>
      <c r="X33" s="135" t="s">
        <v>37</v>
      </c>
      <c r="Y33" s="137">
        <v>12</v>
      </c>
      <c r="Z33" s="137"/>
      <c r="AA33" s="137"/>
    </row>
    <row r="34" spans="1:34" ht="13.8" x14ac:dyDescent="0.3">
      <c r="A34" s="131" t="s">
        <v>327</v>
      </c>
      <c r="B34" s="131" t="s">
        <v>326</v>
      </c>
      <c r="C34" s="131" t="s">
        <v>329</v>
      </c>
      <c r="D34" s="74"/>
      <c r="E34" s="74"/>
      <c r="F34" s="74"/>
      <c r="G34" s="74" t="s">
        <v>366</v>
      </c>
      <c r="H34" s="74" t="s">
        <v>37</v>
      </c>
      <c r="I34" s="74"/>
      <c r="J34" s="133"/>
      <c r="K34" s="74" t="s">
        <v>645</v>
      </c>
      <c r="L34" s="74"/>
      <c r="M34" s="74"/>
      <c r="N34" s="134" t="s">
        <v>31</v>
      </c>
      <c r="O34" s="134" t="s">
        <v>232</v>
      </c>
      <c r="P34" s="135" t="s">
        <v>713</v>
      </c>
      <c r="Q34" s="74"/>
      <c r="R34" s="74" t="s">
        <v>714</v>
      </c>
      <c r="S34" s="74"/>
      <c r="T34" s="74"/>
      <c r="U34" s="74"/>
      <c r="V34" s="135"/>
      <c r="W34" s="135" t="s">
        <v>328</v>
      </c>
      <c r="X34" s="135" t="s">
        <v>37</v>
      </c>
      <c r="Y34" s="137">
        <v>17</v>
      </c>
      <c r="Z34" s="137"/>
      <c r="AA34" s="137"/>
    </row>
    <row r="35" spans="1:34" ht="13.8" x14ac:dyDescent="0.3">
      <c r="A35" s="138" t="s">
        <v>376</v>
      </c>
      <c r="B35" s="138" t="s">
        <v>376</v>
      </c>
      <c r="C35" s="131" t="s">
        <v>306</v>
      </c>
      <c r="D35" s="74"/>
      <c r="E35" s="74"/>
      <c r="F35" s="74"/>
      <c r="G35" s="74" t="s">
        <v>262</v>
      </c>
      <c r="H35" s="74" t="s">
        <v>37</v>
      </c>
      <c r="I35" s="74"/>
      <c r="J35" s="133"/>
      <c r="K35" s="74" t="s">
        <v>715</v>
      </c>
      <c r="L35" s="74"/>
      <c r="M35" s="74"/>
      <c r="N35" s="134" t="s">
        <v>31</v>
      </c>
      <c r="O35" s="134" t="s">
        <v>105</v>
      </c>
      <c r="P35" s="135" t="s">
        <v>711</v>
      </c>
      <c r="Q35" s="74"/>
      <c r="R35" s="74" t="s">
        <v>716</v>
      </c>
      <c r="S35" s="74"/>
      <c r="T35" s="74"/>
      <c r="U35" s="74"/>
      <c r="V35" s="135"/>
      <c r="W35" s="136"/>
      <c r="X35" s="135" t="s">
        <v>139</v>
      </c>
      <c r="Y35" s="137">
        <v>53</v>
      </c>
      <c r="Z35" s="137"/>
      <c r="AA35" s="137"/>
    </row>
    <row r="36" spans="1:34" x14ac:dyDescent="0.25">
      <c r="A36" s="138" t="s">
        <v>376</v>
      </c>
      <c r="B36" s="138" t="s">
        <v>376</v>
      </c>
      <c r="C36" s="74" t="s">
        <v>717</v>
      </c>
      <c r="D36" s="74"/>
      <c r="E36" s="74"/>
      <c r="F36" s="74"/>
      <c r="G36" s="74" t="s">
        <v>262</v>
      </c>
      <c r="H36" s="74" t="s">
        <v>721</v>
      </c>
      <c r="I36" s="74"/>
      <c r="J36" s="133"/>
      <c r="K36" s="74" t="s">
        <v>262</v>
      </c>
      <c r="L36" s="74"/>
      <c r="M36" s="74"/>
      <c r="N36" s="134" t="s">
        <v>31</v>
      </c>
      <c r="O36" s="134" t="s">
        <v>718</v>
      </c>
      <c r="P36" s="135" t="s">
        <v>719</v>
      </c>
      <c r="Q36" s="74"/>
      <c r="R36" s="74"/>
      <c r="S36" s="74"/>
      <c r="T36" s="74"/>
      <c r="U36" s="74"/>
      <c r="V36" s="135"/>
      <c r="W36" s="135" t="s">
        <v>720</v>
      </c>
      <c r="X36" s="135" t="s">
        <v>360</v>
      </c>
      <c r="Y36" s="137">
        <v>2</v>
      </c>
      <c r="Z36" s="137"/>
      <c r="AA36" s="137"/>
    </row>
    <row r="37" spans="1:34" x14ac:dyDescent="0.25">
      <c r="A37" s="138"/>
      <c r="B37" s="138"/>
      <c r="C37" s="74"/>
      <c r="D37" s="74"/>
      <c r="E37" s="74"/>
      <c r="F37" s="74"/>
      <c r="G37" s="74"/>
      <c r="H37" s="74"/>
      <c r="I37" s="74"/>
      <c r="J37" s="133"/>
      <c r="K37" s="74"/>
      <c r="L37" s="74"/>
      <c r="M37" s="74"/>
      <c r="N37" s="134"/>
      <c r="O37" s="134"/>
      <c r="P37" s="135"/>
      <c r="Q37" s="74"/>
      <c r="R37" s="74"/>
      <c r="S37" s="74"/>
      <c r="T37" s="74"/>
      <c r="U37" s="74"/>
      <c r="V37" s="135"/>
      <c r="W37" s="135"/>
      <c r="X37" s="135"/>
      <c r="Y37" s="137"/>
      <c r="Z37" s="137"/>
      <c r="AA37" s="137"/>
    </row>
    <row r="38" spans="1:34" x14ac:dyDescent="0.25">
      <c r="A38" s="138"/>
      <c r="B38" s="138"/>
      <c r="C38" s="74"/>
      <c r="D38" s="74"/>
      <c r="E38" s="74"/>
      <c r="F38" s="74"/>
      <c r="G38" s="74"/>
      <c r="H38" s="74"/>
      <c r="I38" s="74"/>
      <c r="J38" s="133"/>
      <c r="K38" s="74"/>
      <c r="L38" s="74"/>
      <c r="M38" s="74"/>
      <c r="N38" s="134"/>
      <c r="O38" s="134"/>
      <c r="P38" s="135"/>
      <c r="Q38" s="74"/>
      <c r="R38" s="74"/>
      <c r="S38" s="74"/>
      <c r="T38" s="74"/>
      <c r="U38" s="74"/>
      <c r="V38" s="135"/>
      <c r="W38" s="135"/>
      <c r="X38" s="135"/>
      <c r="Y38" s="137"/>
      <c r="Z38" s="137"/>
      <c r="AA38" s="137"/>
    </row>
    <row r="39" spans="1:34" ht="12.6" thickBot="1" x14ac:dyDescent="0.3">
      <c r="A39" s="138"/>
      <c r="B39" s="138"/>
      <c r="C39" s="74"/>
      <c r="D39" s="74"/>
      <c r="E39" s="74"/>
      <c r="F39" s="74"/>
      <c r="G39" s="74"/>
      <c r="H39" s="74"/>
      <c r="I39" s="74"/>
      <c r="J39" s="133"/>
      <c r="K39" s="74"/>
      <c r="L39" s="74"/>
      <c r="M39" s="74"/>
      <c r="N39" s="134"/>
      <c r="O39" s="134"/>
      <c r="P39" s="135"/>
      <c r="Q39" s="74"/>
      <c r="R39" s="74"/>
      <c r="S39" s="74"/>
      <c r="T39" s="74"/>
      <c r="U39" s="74"/>
      <c r="V39" s="135"/>
      <c r="W39" s="135"/>
      <c r="X39" s="135"/>
      <c r="Y39" s="137"/>
      <c r="Z39" s="137"/>
      <c r="AA39" s="137"/>
    </row>
    <row r="40" spans="1:34" s="509" customFormat="1" ht="55.8" thickBot="1" x14ac:dyDescent="0.35">
      <c r="A40" s="280" t="s">
        <v>0</v>
      </c>
      <c r="B40" s="280" t="s">
        <v>1</v>
      </c>
      <c r="C40" s="280" t="s">
        <v>848</v>
      </c>
      <c r="D40" s="357" t="s">
        <v>739</v>
      </c>
      <c r="E40" s="357" t="s">
        <v>825</v>
      </c>
      <c r="F40" s="280" t="s">
        <v>261</v>
      </c>
      <c r="G40" s="384" t="s">
        <v>738</v>
      </c>
      <c r="H40" s="385" t="s">
        <v>729</v>
      </c>
      <c r="I40" s="385" t="s">
        <v>730</v>
      </c>
      <c r="J40" s="386" t="s">
        <v>773</v>
      </c>
      <c r="K40" s="387" t="s">
        <v>12</v>
      </c>
      <c r="L40" s="387" t="s">
        <v>841</v>
      </c>
      <c r="M40" s="402" t="s">
        <v>846</v>
      </c>
      <c r="N40" s="400" t="s">
        <v>840</v>
      </c>
      <c r="O40" s="388" t="s">
        <v>13</v>
      </c>
      <c r="P40" s="388" t="s">
        <v>14</v>
      </c>
      <c r="Q40" s="388" t="s">
        <v>616</v>
      </c>
      <c r="R40" s="388" t="s">
        <v>336</v>
      </c>
      <c r="S40" s="388" t="s">
        <v>668</v>
      </c>
      <c r="T40" s="388" t="s">
        <v>15</v>
      </c>
      <c r="U40" s="389" t="s">
        <v>788</v>
      </c>
      <c r="V40" s="389" t="s">
        <v>789</v>
      </c>
      <c r="W40" s="389" t="s">
        <v>790</v>
      </c>
      <c r="X40" s="389" t="s">
        <v>48</v>
      </c>
      <c r="Y40" s="407" t="s">
        <v>775</v>
      </c>
      <c r="Z40" s="407" t="s">
        <v>776</v>
      </c>
      <c r="AA40" s="390" t="s">
        <v>965</v>
      </c>
      <c r="AB40" s="391" t="s">
        <v>739</v>
      </c>
      <c r="AC40" s="392" t="s">
        <v>22</v>
      </c>
      <c r="AD40" s="392" t="s">
        <v>23</v>
      </c>
      <c r="AE40" s="393" t="s">
        <v>363</v>
      </c>
      <c r="AF40" s="394" t="s">
        <v>21</v>
      </c>
    </row>
    <row r="41" spans="1:34" s="121" customFormat="1" ht="13.8" x14ac:dyDescent="0.3">
      <c r="A41" s="32"/>
      <c r="B41" s="32"/>
      <c r="C41" s="32">
        <v>78</v>
      </c>
      <c r="D41" s="358">
        <v>3</v>
      </c>
      <c r="E41" s="358" t="s">
        <v>939</v>
      </c>
      <c r="F41" s="32" t="s">
        <v>603</v>
      </c>
      <c r="G41" s="411" t="s">
        <v>376</v>
      </c>
      <c r="H41" s="142" t="s">
        <v>882</v>
      </c>
      <c r="I41" s="403" t="s">
        <v>376</v>
      </c>
      <c r="J41" s="279">
        <v>6331.7291312444204</v>
      </c>
      <c r="K41" s="43">
        <v>1.1991911233417463</v>
      </c>
      <c r="L41" s="43" t="s">
        <v>842</v>
      </c>
      <c r="M41" s="405">
        <v>45</v>
      </c>
      <c r="N41" s="146">
        <v>10000000</v>
      </c>
      <c r="O41" s="33" t="s">
        <v>31</v>
      </c>
      <c r="P41" s="33" t="s">
        <v>847</v>
      </c>
      <c r="Q41" s="33" t="s">
        <v>31</v>
      </c>
      <c r="R41" s="33"/>
      <c r="S41" s="33" t="s">
        <v>1000</v>
      </c>
      <c r="T41" s="31" t="s">
        <v>338</v>
      </c>
      <c r="U41" s="48" t="s">
        <v>824</v>
      </c>
      <c r="V41" s="48"/>
      <c r="W41" s="48"/>
      <c r="X41" s="48"/>
      <c r="Y41" s="408"/>
      <c r="Z41" s="408"/>
      <c r="AA41" s="281"/>
      <c r="AB41" s="284">
        <v>3</v>
      </c>
      <c r="AC41" s="33" t="s">
        <v>340</v>
      </c>
      <c r="AD41" s="50" t="s">
        <v>360</v>
      </c>
      <c r="AE41" s="56"/>
      <c r="AF41" s="32" t="s">
        <v>341</v>
      </c>
      <c r="AH41" s="510"/>
    </row>
    <row r="42" spans="1:34" s="121" customFormat="1" ht="13.8" x14ac:dyDescent="0.3">
      <c r="A42" s="32"/>
      <c r="B42" s="32"/>
      <c r="C42" s="32">
        <v>80</v>
      </c>
      <c r="D42" s="358">
        <v>5</v>
      </c>
      <c r="E42" s="358" t="s">
        <v>941</v>
      </c>
      <c r="F42" s="32" t="s">
        <v>345</v>
      </c>
      <c r="G42" s="411" t="s">
        <v>376</v>
      </c>
      <c r="H42" s="142" t="s">
        <v>876</v>
      </c>
      <c r="I42" s="142" t="s">
        <v>869</v>
      </c>
      <c r="J42" s="279">
        <v>16355.1895123877</v>
      </c>
      <c r="K42" s="43">
        <v>3.0975737712855493</v>
      </c>
      <c r="L42" s="43" t="s">
        <v>842</v>
      </c>
      <c r="M42" s="405">
        <v>35</v>
      </c>
      <c r="N42" s="146">
        <v>80000000</v>
      </c>
      <c r="O42" s="33" t="s">
        <v>48</v>
      </c>
      <c r="P42" s="33" t="s">
        <v>343</v>
      </c>
      <c r="Q42" s="33" t="s">
        <v>774</v>
      </c>
      <c r="R42" s="33"/>
      <c r="S42" s="33" t="s">
        <v>48</v>
      </c>
      <c r="T42" s="31" t="s">
        <v>343</v>
      </c>
      <c r="U42" s="48"/>
      <c r="V42" s="48"/>
      <c r="W42" s="48"/>
      <c r="X42" s="48" t="s">
        <v>824</v>
      </c>
      <c r="Y42" s="408"/>
      <c r="Z42" s="408"/>
      <c r="AA42" s="281" t="s">
        <v>670</v>
      </c>
      <c r="AB42" s="284">
        <v>5</v>
      </c>
      <c r="AC42" s="33" t="s">
        <v>346</v>
      </c>
      <c r="AD42" s="50" t="s">
        <v>360</v>
      </c>
      <c r="AE42" s="56" t="s">
        <v>364</v>
      </c>
      <c r="AF42" s="32" t="s">
        <v>347</v>
      </c>
      <c r="AH42" s="510"/>
    </row>
    <row r="43" spans="1:34" s="121" customFormat="1" ht="13.8" x14ac:dyDescent="0.3">
      <c r="A43" s="32"/>
      <c r="B43" s="32"/>
      <c r="C43" s="32">
        <v>79</v>
      </c>
      <c r="D43" s="358">
        <v>4</v>
      </c>
      <c r="E43" s="358" t="s">
        <v>940</v>
      </c>
      <c r="F43" s="102" t="s">
        <v>342</v>
      </c>
      <c r="G43" s="102" t="s">
        <v>411</v>
      </c>
      <c r="H43" s="403" t="s">
        <v>376</v>
      </c>
      <c r="I43" s="404" t="s">
        <v>376</v>
      </c>
      <c r="J43" s="279">
        <v>52814.379235247099</v>
      </c>
      <c r="K43" s="43">
        <v>10.00272334000892</v>
      </c>
      <c r="L43" s="43" t="s">
        <v>842</v>
      </c>
      <c r="M43" s="405">
        <v>6</v>
      </c>
      <c r="N43" s="401">
        <v>120000000</v>
      </c>
      <c r="O43" s="53" t="s">
        <v>31</v>
      </c>
      <c r="P43" s="33" t="s">
        <v>343</v>
      </c>
      <c r="Q43" s="33" t="s">
        <v>31</v>
      </c>
      <c r="R43" s="53"/>
      <c r="S43" s="53" t="s">
        <v>361</v>
      </c>
      <c r="T43" s="31" t="s">
        <v>343</v>
      </c>
      <c r="U43" s="48"/>
      <c r="V43" s="48"/>
      <c r="W43" s="48"/>
      <c r="X43" s="48"/>
      <c r="Y43" s="408" t="s">
        <v>262</v>
      </c>
      <c r="Z43" s="408">
        <v>4</v>
      </c>
      <c r="AA43" s="281" t="s">
        <v>779</v>
      </c>
      <c r="AB43" s="284">
        <v>4</v>
      </c>
      <c r="AC43" s="33" t="s">
        <v>344</v>
      </c>
      <c r="AD43" s="50" t="s">
        <v>360</v>
      </c>
      <c r="AE43" s="56" t="s">
        <v>997</v>
      </c>
      <c r="AF43" s="32" t="s">
        <v>275</v>
      </c>
      <c r="AH43" s="510"/>
    </row>
    <row r="44" spans="1:34" s="121" customFormat="1" ht="13.8" x14ac:dyDescent="0.3">
      <c r="A44" s="32"/>
      <c r="B44" s="32"/>
      <c r="C44" s="32">
        <v>82</v>
      </c>
      <c r="D44" s="358">
        <v>7</v>
      </c>
      <c r="E44" s="358" t="s">
        <v>942</v>
      </c>
      <c r="F44" s="490" t="s">
        <v>348</v>
      </c>
      <c r="G44" s="490" t="s">
        <v>411</v>
      </c>
      <c r="H44" s="403" t="s">
        <v>376</v>
      </c>
      <c r="I44" s="404" t="s">
        <v>376</v>
      </c>
      <c r="J44" s="279">
        <v>30154.519646797598</v>
      </c>
      <c r="K44" s="43">
        <v>5.7110832664389388</v>
      </c>
      <c r="L44" s="43" t="s">
        <v>842</v>
      </c>
      <c r="M44" s="405">
        <v>6</v>
      </c>
      <c r="N44" s="401" t="s">
        <v>376</v>
      </c>
      <c r="O44" s="53" t="s">
        <v>31</v>
      </c>
      <c r="P44" s="33" t="s">
        <v>343</v>
      </c>
      <c r="Q44" s="33" t="s">
        <v>31</v>
      </c>
      <c r="R44" s="53"/>
      <c r="S44" s="53" t="s">
        <v>361</v>
      </c>
      <c r="T44" s="31" t="s">
        <v>343</v>
      </c>
      <c r="U44" s="48"/>
      <c r="V44" s="48"/>
      <c r="W44" s="48"/>
      <c r="X44" s="48"/>
      <c r="Y44" s="408" t="s">
        <v>262</v>
      </c>
      <c r="Z44" s="408">
        <v>4</v>
      </c>
      <c r="AA44" s="281" t="s">
        <v>779</v>
      </c>
      <c r="AB44" s="284">
        <v>7</v>
      </c>
      <c r="AC44" s="33" t="s">
        <v>349</v>
      </c>
      <c r="AD44" s="50" t="s">
        <v>360</v>
      </c>
      <c r="AE44" s="56" t="s">
        <v>997</v>
      </c>
      <c r="AF44" s="32" t="s">
        <v>272</v>
      </c>
      <c r="AH44" s="510"/>
    </row>
    <row r="45" spans="1:34" s="121" customFormat="1" ht="13.8" x14ac:dyDescent="0.3">
      <c r="A45" s="32"/>
      <c r="B45" s="32"/>
      <c r="C45" s="32"/>
      <c r="D45" s="358">
        <v>14</v>
      </c>
      <c r="E45" s="358" t="s">
        <v>991</v>
      </c>
      <c r="F45" s="490" t="s">
        <v>989</v>
      </c>
      <c r="G45" s="490" t="s">
        <v>376</v>
      </c>
      <c r="H45" s="403" t="s">
        <v>621</v>
      </c>
      <c r="I45" s="404" t="s">
        <v>990</v>
      </c>
      <c r="J45" s="279">
        <v>3297.3546689999998</v>
      </c>
      <c r="K45" s="43">
        <f t="shared" ref="K45" si="1">J45/5280</f>
        <v>0.62449899034090905</v>
      </c>
      <c r="L45" s="43"/>
      <c r="M45" s="405" t="s">
        <v>376</v>
      </c>
      <c r="N45" s="401" t="s">
        <v>376</v>
      </c>
      <c r="O45" s="53" t="s">
        <v>992</v>
      </c>
      <c r="P45" s="33" t="s">
        <v>343</v>
      </c>
      <c r="Q45" s="33"/>
      <c r="R45" s="53"/>
      <c r="S45" s="53"/>
      <c r="T45" s="31" t="s">
        <v>343</v>
      </c>
      <c r="U45" s="48" t="s">
        <v>824</v>
      </c>
      <c r="V45" s="48" t="s">
        <v>824</v>
      </c>
      <c r="W45" s="48" t="s">
        <v>824</v>
      </c>
      <c r="X45" s="48" t="s">
        <v>824</v>
      </c>
      <c r="Y45" s="408" t="s">
        <v>262</v>
      </c>
      <c r="Z45" s="408">
        <v>2</v>
      </c>
      <c r="AA45" s="281" t="s">
        <v>779</v>
      </c>
      <c r="AB45" s="284">
        <v>14</v>
      </c>
      <c r="AC45" s="33" t="s">
        <v>376</v>
      </c>
      <c r="AD45" s="50"/>
      <c r="AE45" s="56" t="s">
        <v>364</v>
      </c>
      <c r="AF45" s="32"/>
      <c r="AH45" s="510"/>
    </row>
    <row r="46" spans="1:34" s="121" customFormat="1" ht="13.8" x14ac:dyDescent="0.3">
      <c r="A46" s="32"/>
      <c r="B46" s="32"/>
      <c r="C46" s="32"/>
      <c r="D46" s="358"/>
      <c r="E46" s="358" t="s">
        <v>1115</v>
      </c>
      <c r="F46" s="32" t="s">
        <v>764</v>
      </c>
      <c r="H46" s="32" t="s">
        <v>1349</v>
      </c>
      <c r="I46" s="32" t="s">
        <v>726</v>
      </c>
      <c r="J46" s="885"/>
      <c r="K46" s="43"/>
      <c r="L46" s="35" t="s">
        <v>842</v>
      </c>
      <c r="M46" s="405">
        <v>22</v>
      </c>
      <c r="N46" s="887" t="s">
        <v>376</v>
      </c>
      <c r="O46" s="33" t="s">
        <v>669</v>
      </c>
      <c r="P46" s="103" t="s">
        <v>237</v>
      </c>
      <c r="Q46" s="33"/>
      <c r="R46" s="886"/>
      <c r="S46" s="53"/>
      <c r="T46" s="31"/>
      <c r="U46" s="48"/>
      <c r="V46" s="48"/>
      <c r="W46" s="48"/>
      <c r="X46" s="48"/>
      <c r="Y46" s="408"/>
      <c r="Z46" s="408"/>
      <c r="AA46" s="281"/>
      <c r="AB46" s="284">
        <v>22</v>
      </c>
      <c r="AC46" s="11" t="s">
        <v>247</v>
      </c>
      <c r="AD46" s="50" t="s">
        <v>197</v>
      </c>
      <c r="AE46" s="12" t="s">
        <v>364</v>
      </c>
      <c r="AF46" s="103" t="s">
        <v>1171</v>
      </c>
      <c r="AH46" s="510"/>
    </row>
    <row r="47" spans="1:34" s="121" customFormat="1" ht="13.8" x14ac:dyDescent="0.3">
      <c r="A47" s="32" t="s">
        <v>262</v>
      </c>
      <c r="B47" s="32" t="s">
        <v>262</v>
      </c>
      <c r="C47" s="32">
        <v>36</v>
      </c>
      <c r="D47" s="358">
        <v>56</v>
      </c>
      <c r="E47" s="358" t="s">
        <v>912</v>
      </c>
      <c r="F47" s="490" t="s">
        <v>301</v>
      </c>
      <c r="G47" s="490" t="s">
        <v>411</v>
      </c>
      <c r="H47" s="404" t="s">
        <v>956</v>
      </c>
      <c r="I47" s="279" t="s">
        <v>856</v>
      </c>
      <c r="J47" s="30"/>
      <c r="K47" s="43">
        <v>1.1000000000000001</v>
      </c>
      <c r="L47" s="405" t="s">
        <v>842</v>
      </c>
      <c r="M47" s="401">
        <v>4</v>
      </c>
      <c r="N47" s="53">
        <v>22000000</v>
      </c>
      <c r="O47" s="33" t="s">
        <v>31</v>
      </c>
      <c r="P47" s="33" t="s">
        <v>273</v>
      </c>
      <c r="Q47" s="53" t="s">
        <v>31</v>
      </c>
      <c r="R47" s="30"/>
      <c r="S47" s="53" t="s">
        <v>279</v>
      </c>
      <c r="T47" s="31" t="s">
        <v>853</v>
      </c>
      <c r="U47" s="48" t="s">
        <v>116</v>
      </c>
      <c r="V47" s="48" t="s">
        <v>824</v>
      </c>
      <c r="W47" s="48" t="s">
        <v>824</v>
      </c>
      <c r="X47" s="48" t="s">
        <v>824</v>
      </c>
      <c r="Y47" s="408"/>
      <c r="Z47" s="408" t="s">
        <v>966</v>
      </c>
      <c r="AA47" s="281" t="s">
        <v>967</v>
      </c>
      <c r="AB47" s="284" t="s">
        <v>779</v>
      </c>
      <c r="AC47" s="33">
        <v>56</v>
      </c>
      <c r="AD47" s="50" t="s">
        <v>300</v>
      </c>
      <c r="AE47" s="56" t="s">
        <v>37</v>
      </c>
      <c r="AF47" s="32" t="s">
        <v>998</v>
      </c>
      <c r="AG47" s="121" t="s">
        <v>787</v>
      </c>
      <c r="AH47" s="510"/>
    </row>
    <row r="48" spans="1:34" s="511" customFormat="1" ht="13.8" x14ac:dyDescent="0.3">
      <c r="A48" s="102" t="s">
        <v>262</v>
      </c>
      <c r="B48" s="102" t="s">
        <v>262</v>
      </c>
      <c r="C48" s="102">
        <v>52</v>
      </c>
      <c r="D48" s="492">
        <f>AB48</f>
        <v>73</v>
      </c>
      <c r="E48" s="492" t="s">
        <v>928</v>
      </c>
      <c r="F48" s="102" t="s">
        <v>1021</v>
      </c>
      <c r="G48" s="102" t="s">
        <v>728</v>
      </c>
      <c r="H48" s="102" t="s">
        <v>849</v>
      </c>
      <c r="I48" s="102" t="s">
        <v>475</v>
      </c>
      <c r="J48" s="493">
        <v>14408.670533095999</v>
      </c>
      <c r="K48" s="494">
        <f>J48/5280</f>
        <v>2.7289148736924242</v>
      </c>
      <c r="L48" s="494" t="s">
        <v>842</v>
      </c>
      <c r="M48" s="504">
        <v>1</v>
      </c>
      <c r="N48" s="505">
        <v>55000000</v>
      </c>
      <c r="O48" s="102" t="s">
        <v>31</v>
      </c>
      <c r="P48" s="102" t="s">
        <v>273</v>
      </c>
      <c r="Q48" s="102" t="s">
        <v>31</v>
      </c>
      <c r="R48" s="102" t="s">
        <v>272</v>
      </c>
      <c r="S48" s="102" t="s">
        <v>850</v>
      </c>
      <c r="T48" s="497" t="s">
        <v>116</v>
      </c>
      <c r="U48" s="498" t="s">
        <v>824</v>
      </c>
      <c r="V48" s="498" t="s">
        <v>824</v>
      </c>
      <c r="W48" s="498" t="s">
        <v>824</v>
      </c>
      <c r="X48" s="498" t="s">
        <v>824</v>
      </c>
      <c r="Y48" s="499">
        <v>5</v>
      </c>
      <c r="Z48" s="499">
        <v>7</v>
      </c>
      <c r="AA48" s="500" t="s">
        <v>779</v>
      </c>
      <c r="AB48" s="501">
        <v>73</v>
      </c>
      <c r="AC48" s="102" t="s">
        <v>274</v>
      </c>
      <c r="AD48" s="498" t="s">
        <v>37</v>
      </c>
      <c r="AE48" s="493" t="s">
        <v>998</v>
      </c>
      <c r="AF48" s="102" t="s">
        <v>1069</v>
      </c>
    </row>
    <row r="49" spans="1:32" s="511" customFormat="1" ht="13.8" x14ac:dyDescent="0.3">
      <c r="A49" s="512"/>
      <c r="B49" s="512"/>
      <c r="C49" s="490">
        <v>57</v>
      </c>
      <c r="D49" s="513">
        <f>AB49</f>
        <v>103</v>
      </c>
      <c r="E49" s="513" t="s">
        <v>961</v>
      </c>
      <c r="F49" s="490" t="s">
        <v>971</v>
      </c>
      <c r="G49" s="404" t="s">
        <v>376</v>
      </c>
      <c r="H49" s="490" t="s">
        <v>960</v>
      </c>
      <c r="I49" s="490" t="s">
        <v>855</v>
      </c>
      <c r="J49" s="514">
        <v>3230</v>
      </c>
      <c r="K49" s="515">
        <f>J49/5280</f>
        <v>0.6117424242424242</v>
      </c>
      <c r="L49" s="515" t="s">
        <v>843</v>
      </c>
      <c r="M49" s="516">
        <v>34</v>
      </c>
      <c r="N49" s="517" t="s">
        <v>376</v>
      </c>
      <c r="O49" s="490" t="s">
        <v>31</v>
      </c>
      <c r="P49" s="490" t="s">
        <v>1020</v>
      </c>
      <c r="Q49" s="490" t="s">
        <v>31</v>
      </c>
      <c r="R49" s="490" t="s">
        <v>718</v>
      </c>
      <c r="S49" s="490" t="s">
        <v>777</v>
      </c>
      <c r="T49" s="518" t="s">
        <v>116</v>
      </c>
      <c r="U49" s="519" t="s">
        <v>824</v>
      </c>
      <c r="V49" s="519"/>
      <c r="W49" s="519"/>
      <c r="X49" s="519"/>
      <c r="Y49" s="520">
        <v>2</v>
      </c>
      <c r="Z49" s="520">
        <v>3</v>
      </c>
      <c r="AA49" s="521" t="s">
        <v>779</v>
      </c>
      <c r="AB49" s="522">
        <v>103</v>
      </c>
      <c r="AC49" s="490"/>
      <c r="AD49" s="519" t="s">
        <v>37</v>
      </c>
      <c r="AE49" s="514" t="s">
        <v>998</v>
      </c>
      <c r="AF49" s="490" t="s">
        <v>1067</v>
      </c>
    </row>
    <row r="50" spans="1:32" s="503" customFormat="1" ht="13.8" x14ac:dyDescent="0.3">
      <c r="A50" s="491"/>
      <c r="B50" s="491"/>
      <c r="C50" s="102">
        <v>62</v>
      </c>
      <c r="D50" s="492">
        <f>AB50</f>
        <v>106</v>
      </c>
      <c r="E50" s="492" t="s">
        <v>934</v>
      </c>
      <c r="F50" s="102" t="s">
        <v>976</v>
      </c>
      <c r="G50" s="102" t="s">
        <v>659</v>
      </c>
      <c r="H50" s="102" t="s">
        <v>427</v>
      </c>
      <c r="I50" s="102" t="s">
        <v>732</v>
      </c>
      <c r="J50" s="493">
        <v>6469</v>
      </c>
      <c r="K50" s="494">
        <f>J50/5280</f>
        <v>1.2251893939393939</v>
      </c>
      <c r="L50" s="494" t="s">
        <v>843</v>
      </c>
      <c r="M50" s="495" t="s">
        <v>376</v>
      </c>
      <c r="N50" s="496" t="s">
        <v>376</v>
      </c>
      <c r="O50" s="102" t="s">
        <v>31</v>
      </c>
      <c r="P50" s="102" t="s">
        <v>1020</v>
      </c>
      <c r="Q50" s="102" t="s">
        <v>31</v>
      </c>
      <c r="R50" s="102" t="s">
        <v>718</v>
      </c>
      <c r="S50" s="102" t="s">
        <v>777</v>
      </c>
      <c r="T50" s="497" t="s">
        <v>116</v>
      </c>
      <c r="U50" s="498" t="s">
        <v>824</v>
      </c>
      <c r="V50" s="498"/>
      <c r="W50" s="498"/>
      <c r="X50" s="498"/>
      <c r="Y50" s="499">
        <v>3</v>
      </c>
      <c r="Z50" s="499">
        <v>4</v>
      </c>
      <c r="AA50" s="500" t="s">
        <v>779</v>
      </c>
      <c r="AB50" s="501">
        <v>106</v>
      </c>
      <c r="AC50" s="502" t="s">
        <v>376</v>
      </c>
      <c r="AD50" s="498" t="s">
        <v>37</v>
      </c>
      <c r="AE50" s="493" t="s">
        <v>998</v>
      </c>
      <c r="AF50" s="102" t="s">
        <v>977</v>
      </c>
    </row>
    <row r="51" spans="1:32" s="121" customFormat="1" ht="13.8" x14ac:dyDescent="0.3">
      <c r="A51" s="142" t="s">
        <v>262</v>
      </c>
      <c r="B51" s="142" t="s">
        <v>262</v>
      </c>
      <c r="C51" s="142">
        <v>25</v>
      </c>
      <c r="D51" s="854">
        <f>AB51</f>
        <v>46</v>
      </c>
      <c r="E51" s="854" t="s">
        <v>904</v>
      </c>
      <c r="F51" s="490" t="s">
        <v>319</v>
      </c>
      <c r="G51" s="490" t="s">
        <v>844</v>
      </c>
      <c r="H51" s="855" t="s">
        <v>536</v>
      </c>
      <c r="I51" s="855" t="s">
        <v>475</v>
      </c>
      <c r="J51" s="514">
        <v>9637.9115490000004</v>
      </c>
      <c r="K51" s="515">
        <f>J51/5280</f>
        <v>1.8253620357954545</v>
      </c>
      <c r="L51" s="515" t="s">
        <v>842</v>
      </c>
      <c r="M51" s="856">
        <v>11</v>
      </c>
      <c r="N51" s="857">
        <v>12000000</v>
      </c>
      <c r="O51" s="142" t="s">
        <v>31</v>
      </c>
      <c r="P51" s="142" t="s">
        <v>273</v>
      </c>
      <c r="Q51" s="142" t="s">
        <v>31</v>
      </c>
      <c r="R51" s="490"/>
      <c r="S51" s="142" t="s">
        <v>858</v>
      </c>
      <c r="T51" s="858" t="s">
        <v>105</v>
      </c>
      <c r="U51" s="157" t="s">
        <v>824</v>
      </c>
      <c r="V51" s="157" t="s">
        <v>824</v>
      </c>
      <c r="W51" s="157" t="s">
        <v>824</v>
      </c>
      <c r="X51" s="157"/>
      <c r="Y51" s="859">
        <v>2</v>
      </c>
      <c r="Z51" s="860" t="s">
        <v>964</v>
      </c>
      <c r="AA51" s="861" t="s">
        <v>670</v>
      </c>
      <c r="AB51" s="862">
        <v>46</v>
      </c>
      <c r="AC51" s="142" t="s">
        <v>318</v>
      </c>
      <c r="AD51" s="157" t="s">
        <v>37</v>
      </c>
      <c r="AE51" s="156" t="s">
        <v>364</v>
      </c>
      <c r="AF51" s="142"/>
    </row>
    <row r="52" spans="1:32" s="121" customFormat="1" ht="13.8" x14ac:dyDescent="0.3">
      <c r="A52" s="142" t="s">
        <v>262</v>
      </c>
      <c r="B52" s="142" t="s">
        <v>262</v>
      </c>
      <c r="C52" s="142">
        <v>26</v>
      </c>
      <c r="D52" s="854">
        <f>AB52</f>
        <v>47</v>
      </c>
      <c r="E52" s="854" t="s">
        <v>905</v>
      </c>
      <c r="F52" s="490" t="s">
        <v>317</v>
      </c>
      <c r="G52" s="490" t="s">
        <v>844</v>
      </c>
      <c r="H52" s="855" t="s">
        <v>475</v>
      </c>
      <c r="I52" s="855" t="s">
        <v>624</v>
      </c>
      <c r="J52" s="514">
        <v>4540.8479980000002</v>
      </c>
      <c r="K52" s="515">
        <f>J52/5280</f>
        <v>0.86000909053030306</v>
      </c>
      <c r="L52" s="515" t="s">
        <v>842</v>
      </c>
      <c r="M52" s="856">
        <v>13</v>
      </c>
      <c r="N52" s="857">
        <v>3000000</v>
      </c>
      <c r="O52" s="142" t="s">
        <v>31</v>
      </c>
      <c r="P52" s="142" t="s">
        <v>273</v>
      </c>
      <c r="Q52" s="142" t="s">
        <v>31</v>
      </c>
      <c r="R52" s="142" t="s">
        <v>275</v>
      </c>
      <c r="S52" s="142" t="s">
        <v>858</v>
      </c>
      <c r="T52" s="858" t="s">
        <v>105</v>
      </c>
      <c r="U52" s="157" t="s">
        <v>824</v>
      </c>
      <c r="V52" s="157" t="s">
        <v>824</v>
      </c>
      <c r="W52" s="157" t="s">
        <v>824</v>
      </c>
      <c r="X52" s="157" t="s">
        <v>824</v>
      </c>
      <c r="Y52" s="859">
        <v>2</v>
      </c>
      <c r="Z52" s="860" t="s">
        <v>964</v>
      </c>
      <c r="AA52" s="861" t="s">
        <v>670</v>
      </c>
      <c r="AB52" s="862">
        <v>47</v>
      </c>
      <c r="AC52" s="142" t="s">
        <v>316</v>
      </c>
      <c r="AD52" s="157" t="s">
        <v>37</v>
      </c>
      <c r="AE52" s="156" t="s">
        <v>364</v>
      </c>
      <c r="AF52" s="142"/>
    </row>
  </sheetData>
  <autoFilter ref="A1:AA25" xr:uid="{B84894C7-FF18-448D-BD2F-73B947879C61}">
    <sortState xmlns:xlrd2="http://schemas.microsoft.com/office/spreadsheetml/2017/richdata2" ref="A2:AA25">
      <sortCondition ref="Y2:Y25"/>
    </sortState>
  </autoFilter>
  <conditionalFormatting sqref="Y2:Z2 Y14:Z25 Y4:Z12 A2:U3 A20:U22 C19:U19 A5:U7 C4:U4 A9:U18 C8:U8 A24:U25 C23:U23 A32:C32 W32 S47:AF47 K47:Q47 A47:F47 D51:AF52 F46 H46:I47">
    <cfRule type="expression" dxfId="424" priority="64">
      <formula>MOD(ROW(),2)=0</formula>
    </cfRule>
  </conditionalFormatting>
  <conditionalFormatting sqref="F53:F1048576 F1:F25 F27:F30 F32:F39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:X2 V14:X14 V13 V4:X9 V3 V16:X16 V15 X15 V11:X12 V10 X10 V17:V25 X17:X25">
    <cfRule type="expression" dxfId="423" priority="60">
      <formula>MOD(ROW(),2)=0</formula>
    </cfRule>
  </conditionalFormatting>
  <conditionalFormatting sqref="Y13:Z13">
    <cfRule type="expression" dxfId="422" priority="59">
      <formula>MOD(ROW(),2)=0</formula>
    </cfRule>
  </conditionalFormatting>
  <conditionalFormatting sqref="W13:X13">
    <cfRule type="expression" dxfId="421" priority="58">
      <formula>MOD(ROW(),2)=0</formula>
    </cfRule>
  </conditionalFormatting>
  <conditionalFormatting sqref="Y3:Z3">
    <cfRule type="expression" dxfId="420" priority="57">
      <formula>MOD(ROW(),2)=0</formula>
    </cfRule>
  </conditionalFormatting>
  <conditionalFormatting sqref="W3:X3">
    <cfRule type="expression" dxfId="419" priority="56">
      <formula>MOD(ROW(),2)=0</formula>
    </cfRule>
  </conditionalFormatting>
  <conditionalFormatting sqref="AA2 AA4:AA12 AA14:AA25">
    <cfRule type="expression" dxfId="418" priority="55">
      <formula>MOD(ROW(),2)=0</formula>
    </cfRule>
  </conditionalFormatting>
  <conditionalFormatting sqref="AA13">
    <cfRule type="expression" dxfId="417" priority="54">
      <formula>MOD(ROW(),2)=0</formula>
    </cfRule>
  </conditionalFormatting>
  <conditionalFormatting sqref="AA3">
    <cfRule type="expression" dxfId="416" priority="53">
      <formula>MOD(ROW(),2)=0</formula>
    </cfRule>
  </conditionalFormatting>
  <conditionalFormatting sqref="A19:B19">
    <cfRule type="expression" dxfId="415" priority="52">
      <formula>MOD(ROW(),2)=0</formula>
    </cfRule>
  </conditionalFormatting>
  <conditionalFormatting sqref="A4:B4">
    <cfRule type="expression" dxfId="414" priority="50">
      <formula>MOD(ROW(),2)=0</formula>
    </cfRule>
  </conditionalFormatting>
  <conditionalFormatting sqref="A8:B8">
    <cfRule type="expression" dxfId="413" priority="49">
      <formula>MOD(ROW(),2)=0</formula>
    </cfRule>
  </conditionalFormatting>
  <conditionalFormatting sqref="A23:B23">
    <cfRule type="expression" dxfId="412" priority="47">
      <formula>MOD(ROW(),2)=0</formula>
    </cfRule>
  </conditionalFormatting>
  <conditionalFormatting sqref="F2:F25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3:B33">
    <cfRule type="expression" dxfId="411" priority="41">
      <formula>MOD(ROW(),2)=0</formula>
    </cfRule>
  </conditionalFormatting>
  <conditionalFormatting sqref="C33">
    <cfRule type="expression" dxfId="410" priority="40">
      <formula>MOD(ROW(),2)=0</formula>
    </cfRule>
  </conditionalFormatting>
  <conditionalFormatting sqref="A34:B34">
    <cfRule type="expression" dxfId="409" priority="39">
      <formula>MOD(ROW(),2)=0</formula>
    </cfRule>
  </conditionalFormatting>
  <conditionalFormatting sqref="C34">
    <cfRule type="expression" dxfId="408" priority="38">
      <formula>MOD(ROW(),2)=0</formula>
    </cfRule>
  </conditionalFormatting>
  <conditionalFormatting sqref="C35">
    <cfRule type="expression" dxfId="407" priority="37">
      <formula>MOD(ROW(),2)=0</formula>
    </cfRule>
  </conditionalFormatting>
  <conditionalFormatting sqref="W35">
    <cfRule type="expression" dxfId="406" priority="36">
      <formula>MOD(ROW(),2)=0</formula>
    </cfRule>
  </conditionalFormatting>
  <conditionalFormatting sqref="F3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1:AF42">
    <cfRule type="expression" dxfId="405" priority="34">
      <formula>MOD(ROW(),2)=0</formula>
    </cfRule>
  </conditionalFormatting>
  <conditionalFormatting sqref="A43:AF43">
    <cfRule type="expression" dxfId="404" priority="33">
      <formula>MOD(ROW(),2)=0</formula>
    </cfRule>
  </conditionalFormatting>
  <conditionalFormatting sqref="A44:AF44">
    <cfRule type="expression" dxfId="403" priority="29">
      <formula>MOD(ROW(),2)=0</formula>
    </cfRule>
  </conditionalFormatting>
  <conditionalFormatting sqref="A45:AF45 A46:E46 J46:K46 M46:N46 Q46:AB46 AD46">
    <cfRule type="expression" dxfId="402" priority="28">
      <formula>MOD(ROW(),2)=0</formula>
    </cfRule>
  </conditionalFormatting>
  <conditionalFormatting sqref="G47">
    <cfRule type="expression" dxfId="401" priority="26">
      <formula>MOD(ROW(),2)=0</formula>
    </cfRule>
  </conditionalFormatting>
  <conditionalFormatting sqref="A48:AF48">
    <cfRule type="expression" dxfId="400" priority="25">
      <formula>MOD(ROW(),2)=0</formula>
    </cfRule>
  </conditionalFormatting>
  <conditionalFormatting sqref="A49:AF49">
    <cfRule type="expression" dxfId="399" priority="24">
      <formula>MOD(ROW(),2)=0</formula>
    </cfRule>
  </conditionalFormatting>
  <conditionalFormatting sqref="AE50:AF50 Q50:AC50 A50:O50">
    <cfRule type="expression" dxfId="398" priority="23">
      <formula>MOD(ROW(),2)=0</formula>
    </cfRule>
  </conditionalFormatting>
  <conditionalFormatting sqref="AD50">
    <cfRule type="expression" dxfId="397" priority="22">
      <formula>MOD(ROW(),2)=0</formula>
    </cfRule>
  </conditionalFormatting>
  <conditionalFormatting sqref="P50">
    <cfRule type="expression" dxfId="396" priority="21">
      <formula>MOD(ROW(),2)=0</formula>
    </cfRule>
  </conditionalFormatting>
  <conditionalFormatting sqref="J51 G51">
    <cfRule type="expression" dxfId="395" priority="14">
      <formula>MOD(ROW(),2)=0</formula>
    </cfRule>
  </conditionalFormatting>
  <conditionalFormatting sqref="H51:I51">
    <cfRule type="expression" dxfId="394" priority="13">
      <formula>MOD(ROW(),2)=0</formula>
    </cfRule>
  </conditionalFormatting>
  <conditionalFormatting sqref="G52">
    <cfRule type="expression" dxfId="393" priority="12">
      <formula>MOD(ROW(),2)=0</formula>
    </cfRule>
  </conditionalFormatting>
  <conditionalFormatting sqref="H52:I52">
    <cfRule type="expression" dxfId="392" priority="11">
      <formula>MOD(ROW(),2)=0</formula>
    </cfRule>
  </conditionalFormatting>
  <conditionalFormatting sqref="L46">
    <cfRule type="expression" dxfId="391" priority="6">
      <formula>MOD(ROW(),2)=0</formula>
    </cfRule>
  </conditionalFormatting>
  <conditionalFormatting sqref="O46">
    <cfRule type="expression" dxfId="390" priority="5">
      <formula>MOD(ROW(),2)=0</formula>
    </cfRule>
  </conditionalFormatting>
  <conditionalFormatting sqref="P46">
    <cfRule type="expression" dxfId="389" priority="4">
      <formula>MOD(ROW(),2)=0</formula>
    </cfRule>
  </conditionalFormatting>
  <conditionalFormatting sqref="AC46">
    <cfRule type="expression" dxfId="388" priority="3">
      <formula>MOD(ROW(),2)=0</formula>
    </cfRule>
  </conditionalFormatting>
  <conditionalFormatting sqref="AF46">
    <cfRule type="expression" dxfId="387" priority="2">
      <formula>MOD(ROW(),2)=0</formula>
    </cfRule>
  </conditionalFormatting>
  <conditionalFormatting sqref="AE46">
    <cfRule type="expression" dxfId="386" priority="1">
      <formula>MOD(ROW(),2)=0</formula>
    </cfRule>
  </conditionalFormatting>
  <hyperlinks>
    <hyperlink ref="R1" location="_edn1" display="_edn1" xr:uid="{979EBE74-03E5-493F-8DF9-0F5D33D0359D}"/>
    <hyperlink ref="S1" location="_edn2" display="_edn2" xr:uid="{3E6E6AD8-95C7-4650-AF86-86A12333CF8B}"/>
    <hyperlink ref="T1" location="_edn3" display="_edn3" xr:uid="{36A3885C-1C12-4247-8DDE-0D852DBB1807}"/>
  </hyperlink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1EBED-C11F-4407-9993-8692D857D229}">
  <dimension ref="A1:AB31"/>
  <sheetViews>
    <sheetView topLeftCell="C1" workbookViewId="0">
      <pane xSplit="2" ySplit="1" topLeftCell="E2" activePane="bottomRight" state="frozen"/>
      <selection activeCell="C1" sqref="C1"/>
      <selection pane="topRight" activeCell="E1" sqref="E1"/>
      <selection pane="bottomLeft" activeCell="C2" sqref="C2"/>
      <selection pane="bottomRight" activeCell="K1" sqref="K1:K1048576"/>
    </sheetView>
  </sheetViews>
  <sheetFormatPr defaultColWidth="9.109375" defaultRowHeight="13.8" x14ac:dyDescent="0.3"/>
  <cols>
    <col min="1" max="2" width="6.5546875" style="30" hidden="1" customWidth="1"/>
    <col min="3" max="3" width="6.44140625" style="362" bestFit="1" customWidth="1"/>
    <col min="4" max="4" width="38.44140625" style="30" customWidth="1"/>
    <col min="5" max="5" width="8" style="30" bestFit="1" customWidth="1"/>
    <col min="6" max="6" width="16.44140625" style="30" bestFit="1" customWidth="1"/>
    <col min="7" max="7" width="15.5546875" style="30" customWidth="1"/>
    <col min="8" max="8" width="8.88671875" style="30" bestFit="1" customWidth="1"/>
    <col min="9" max="9" width="13.109375" style="969" customWidth="1"/>
    <col min="10" max="10" width="8" style="969" customWidth="1"/>
    <col min="11" max="11" width="13.109375" style="399" customWidth="1"/>
    <col min="12" max="12" width="9.44140625" style="30" bestFit="1" customWidth="1"/>
    <col min="13" max="13" width="14.6640625" style="30" bestFit="1" customWidth="1"/>
    <col min="14" max="14" width="11.88671875" style="30" customWidth="1"/>
    <col min="15" max="15" width="9.44140625" style="105" bestFit="1" customWidth="1"/>
    <col min="16" max="16" width="10.44140625" style="105" bestFit="1" customWidth="1"/>
    <col min="17" max="20" width="3.6640625" style="105" customWidth="1"/>
    <col min="21" max="21" width="7.33203125" style="34" bestFit="1" customWidth="1"/>
    <col min="22" max="22" width="9.33203125" style="34" bestFit="1" customWidth="1"/>
    <col min="23" max="23" width="5" style="362" customWidth="1"/>
    <col min="24" max="24" width="6.44140625" style="362" bestFit="1" customWidth="1"/>
    <col min="25" max="25" width="10.5546875" style="30" bestFit="1" customWidth="1"/>
    <col min="26" max="26" width="6" style="30" customWidth="1"/>
    <col min="27" max="27" width="14.6640625" style="30" bestFit="1" customWidth="1"/>
    <col min="28" max="28" width="31.6640625" style="105" customWidth="1"/>
    <col min="29" max="16384" width="9.109375" style="30"/>
  </cols>
  <sheetData>
    <row r="1" spans="1:28" s="139" customFormat="1" ht="42" thickBot="1" x14ac:dyDescent="0.35">
      <c r="A1" s="277" t="s">
        <v>0</v>
      </c>
      <c r="B1" s="277" t="s">
        <v>1</v>
      </c>
      <c r="C1" s="274" t="s">
        <v>834</v>
      </c>
      <c r="D1" s="272" t="s">
        <v>261</v>
      </c>
      <c r="E1" s="272" t="s">
        <v>10</v>
      </c>
      <c r="F1" s="278" t="s">
        <v>729</v>
      </c>
      <c r="G1" s="278" t="s">
        <v>730</v>
      </c>
      <c r="H1" s="278" t="s">
        <v>841</v>
      </c>
      <c r="I1" s="970" t="s">
        <v>1303</v>
      </c>
      <c r="J1" s="951" t="s">
        <v>1305</v>
      </c>
      <c r="K1" s="740" t="s">
        <v>1304</v>
      </c>
      <c r="L1" s="355" t="s">
        <v>13</v>
      </c>
      <c r="M1" s="355" t="s">
        <v>14</v>
      </c>
      <c r="N1" s="356" t="s">
        <v>616</v>
      </c>
      <c r="O1" s="273" t="s">
        <v>668</v>
      </c>
      <c r="P1" s="273" t="s">
        <v>15</v>
      </c>
      <c r="Q1" s="996" t="s">
        <v>788</v>
      </c>
      <c r="R1" s="996" t="s">
        <v>789</v>
      </c>
      <c r="S1" s="996" t="s">
        <v>790</v>
      </c>
      <c r="T1" s="996" t="s">
        <v>48</v>
      </c>
      <c r="U1" s="273" t="s">
        <v>666</v>
      </c>
      <c r="V1" s="273" t="s">
        <v>671</v>
      </c>
      <c r="W1" s="274" t="s">
        <v>739</v>
      </c>
      <c r="X1" s="274" t="s">
        <v>834</v>
      </c>
      <c r="Y1" s="153" t="s">
        <v>22</v>
      </c>
      <c r="Z1" s="153" t="s">
        <v>23</v>
      </c>
      <c r="AA1" s="140" t="s">
        <v>363</v>
      </c>
      <c r="AB1" s="273" t="s">
        <v>21</v>
      </c>
    </row>
    <row r="2" spans="1:28" x14ac:dyDescent="0.3">
      <c r="A2" s="35"/>
      <c r="B2" s="35"/>
      <c r="C2" s="360" t="s">
        <v>1103</v>
      </c>
      <c r="D2" s="35" t="s">
        <v>1445</v>
      </c>
      <c r="E2" s="876" t="s">
        <v>376</v>
      </c>
      <c r="F2" s="35" t="s">
        <v>1366</v>
      </c>
      <c r="G2" s="35" t="s">
        <v>551</v>
      </c>
      <c r="H2" s="35" t="s">
        <v>842</v>
      </c>
      <c r="I2" s="961"/>
      <c r="J2" s="961"/>
      <c r="K2" s="150">
        <v>1992872.9700000002</v>
      </c>
      <c r="L2" s="119" t="s">
        <v>31</v>
      </c>
      <c r="M2" s="33" t="s">
        <v>669</v>
      </c>
      <c r="N2" s="119" t="s">
        <v>31</v>
      </c>
      <c r="O2" s="117" t="s">
        <v>669</v>
      </c>
      <c r="P2" s="104" t="s">
        <v>237</v>
      </c>
      <c r="Q2" s="275" t="s">
        <v>824</v>
      </c>
      <c r="R2" s="275"/>
      <c r="S2" s="275"/>
      <c r="T2" s="275" t="s">
        <v>824</v>
      </c>
      <c r="U2" s="276" t="s">
        <v>670</v>
      </c>
      <c r="V2" s="275" t="s">
        <v>670</v>
      </c>
      <c r="W2" s="360">
        <v>6</v>
      </c>
      <c r="X2" s="360" t="s">
        <v>1103</v>
      </c>
      <c r="Y2" s="36" t="s">
        <v>258</v>
      </c>
      <c r="Z2" s="36" t="s">
        <v>197</v>
      </c>
      <c r="AA2" s="37" t="s">
        <v>364</v>
      </c>
      <c r="AB2" s="104" t="s">
        <v>1170</v>
      </c>
    </row>
    <row r="3" spans="1:28" x14ac:dyDescent="0.3">
      <c r="A3" s="32"/>
      <c r="B3" s="32"/>
      <c r="C3" s="361" t="s">
        <v>1104</v>
      </c>
      <c r="D3" s="32" t="s">
        <v>1446</v>
      </c>
      <c r="E3" s="876" t="s">
        <v>376</v>
      </c>
      <c r="F3" s="32" t="s">
        <v>643</v>
      </c>
      <c r="G3" s="32" t="s">
        <v>1004</v>
      </c>
      <c r="H3" s="35" t="s">
        <v>842</v>
      </c>
      <c r="I3" s="961"/>
      <c r="J3" s="961"/>
      <c r="K3" s="150">
        <v>254172.60000000003</v>
      </c>
      <c r="L3" s="119" t="s">
        <v>31</v>
      </c>
      <c r="M3" s="33" t="s">
        <v>669</v>
      </c>
      <c r="N3" s="119" t="s">
        <v>31</v>
      </c>
      <c r="O3" s="103" t="s">
        <v>669</v>
      </c>
      <c r="P3" s="103" t="s">
        <v>237</v>
      </c>
      <c r="Q3" s="276" t="s">
        <v>824</v>
      </c>
      <c r="R3" s="276" t="s">
        <v>824</v>
      </c>
      <c r="S3" s="276" t="s">
        <v>824</v>
      </c>
      <c r="T3" s="276" t="s">
        <v>824</v>
      </c>
      <c r="U3" s="276" t="s">
        <v>670</v>
      </c>
      <c r="V3" s="276" t="s">
        <v>670</v>
      </c>
      <c r="W3" s="361">
        <v>8</v>
      </c>
      <c r="X3" s="361" t="s">
        <v>1104</v>
      </c>
      <c r="Y3" s="11" t="s">
        <v>257</v>
      </c>
      <c r="Z3" s="11" t="s">
        <v>197</v>
      </c>
      <c r="AA3" s="12" t="s">
        <v>364</v>
      </c>
      <c r="AB3" s="103" t="s">
        <v>1164</v>
      </c>
    </row>
    <row r="4" spans="1:28" x14ac:dyDescent="0.3">
      <c r="A4" s="32"/>
      <c r="B4" s="32"/>
      <c r="C4" s="361" t="s">
        <v>1105</v>
      </c>
      <c r="D4" s="32" t="s">
        <v>1447</v>
      </c>
      <c r="E4" s="876" t="s">
        <v>376</v>
      </c>
      <c r="F4" s="32" t="s">
        <v>643</v>
      </c>
      <c r="G4" s="32" t="s">
        <v>794</v>
      </c>
      <c r="H4" s="35" t="s">
        <v>842</v>
      </c>
      <c r="I4" s="961"/>
      <c r="J4" s="961"/>
      <c r="K4" s="150">
        <v>232009.27200000003</v>
      </c>
      <c r="L4" s="119" t="s">
        <v>31</v>
      </c>
      <c r="M4" s="33" t="s">
        <v>669</v>
      </c>
      <c r="N4" s="119" t="s">
        <v>31</v>
      </c>
      <c r="O4" s="103" t="s">
        <v>669</v>
      </c>
      <c r="P4" s="103" t="s">
        <v>237</v>
      </c>
      <c r="Q4" s="276" t="s">
        <v>824</v>
      </c>
      <c r="R4" s="276" t="s">
        <v>824</v>
      </c>
      <c r="S4" s="276" t="s">
        <v>824</v>
      </c>
      <c r="T4" s="276" t="s">
        <v>824</v>
      </c>
      <c r="U4" s="276" t="s">
        <v>670</v>
      </c>
      <c r="V4" s="276" t="s">
        <v>670</v>
      </c>
      <c r="W4" s="361">
        <v>9</v>
      </c>
      <c r="X4" s="361" t="s">
        <v>1105</v>
      </c>
      <c r="Y4" s="11" t="s">
        <v>256</v>
      </c>
      <c r="Z4" s="11" t="s">
        <v>197</v>
      </c>
      <c r="AA4" s="12" t="s">
        <v>364</v>
      </c>
      <c r="AB4" s="103" t="s">
        <v>1165</v>
      </c>
    </row>
    <row r="5" spans="1:28" x14ac:dyDescent="0.3">
      <c r="A5" s="32"/>
      <c r="B5" s="32"/>
      <c r="C5" s="361" t="s">
        <v>1106</v>
      </c>
      <c r="D5" s="32" t="s">
        <v>1448</v>
      </c>
      <c r="E5" s="876" t="s">
        <v>376</v>
      </c>
      <c r="F5" s="35" t="s">
        <v>862</v>
      </c>
      <c r="G5" s="32" t="s">
        <v>794</v>
      </c>
      <c r="H5" s="35" t="s">
        <v>842</v>
      </c>
      <c r="I5" s="961"/>
      <c r="J5" s="961"/>
      <c r="K5" s="150">
        <v>232009.27200000003</v>
      </c>
      <c r="L5" s="119" t="s">
        <v>31</v>
      </c>
      <c r="M5" s="33" t="s">
        <v>669</v>
      </c>
      <c r="N5" s="119" t="s">
        <v>31</v>
      </c>
      <c r="O5" s="103" t="s">
        <v>669</v>
      </c>
      <c r="P5" s="103" t="s">
        <v>237</v>
      </c>
      <c r="Q5" s="276" t="s">
        <v>824</v>
      </c>
      <c r="R5" s="276" t="s">
        <v>824</v>
      </c>
      <c r="S5" s="276" t="s">
        <v>824</v>
      </c>
      <c r="T5" s="276" t="s">
        <v>824</v>
      </c>
      <c r="U5" s="276" t="s">
        <v>670</v>
      </c>
      <c r="V5" s="276" t="s">
        <v>670</v>
      </c>
      <c r="W5" s="361">
        <v>10</v>
      </c>
      <c r="X5" s="361" t="s">
        <v>1106</v>
      </c>
      <c r="Y5" s="11" t="s">
        <v>255</v>
      </c>
      <c r="Z5" s="11" t="s">
        <v>197</v>
      </c>
      <c r="AA5" s="12" t="s">
        <v>364</v>
      </c>
      <c r="AB5" s="103" t="s">
        <v>1165</v>
      </c>
    </row>
    <row r="6" spans="1:28" x14ac:dyDescent="0.3">
      <c r="A6" s="32"/>
      <c r="B6" s="32"/>
      <c r="C6" s="361" t="s">
        <v>1108</v>
      </c>
      <c r="D6" s="32" t="s">
        <v>1449</v>
      </c>
      <c r="E6" s="876" t="s">
        <v>376</v>
      </c>
      <c r="F6" s="32" t="s">
        <v>862</v>
      </c>
      <c r="G6" s="32" t="s">
        <v>1350</v>
      </c>
      <c r="H6" s="35" t="s">
        <v>842</v>
      </c>
      <c r="I6" s="961"/>
      <c r="J6" s="961"/>
      <c r="K6" s="150">
        <v>232009.27200000003</v>
      </c>
      <c r="L6" s="119" t="s">
        <v>31</v>
      </c>
      <c r="M6" s="33" t="s">
        <v>669</v>
      </c>
      <c r="N6" s="119" t="s">
        <v>31</v>
      </c>
      <c r="O6" s="103" t="s">
        <v>669</v>
      </c>
      <c r="P6" s="103" t="s">
        <v>237</v>
      </c>
      <c r="Q6" s="276" t="s">
        <v>824</v>
      </c>
      <c r="R6" s="276" t="s">
        <v>824</v>
      </c>
      <c r="S6" s="276" t="s">
        <v>824</v>
      </c>
      <c r="T6" s="276" t="s">
        <v>824</v>
      </c>
      <c r="U6" s="276" t="s">
        <v>670</v>
      </c>
      <c r="V6" s="276" t="s">
        <v>670</v>
      </c>
      <c r="W6" s="361">
        <v>13</v>
      </c>
      <c r="X6" s="361" t="s">
        <v>1108</v>
      </c>
      <c r="Y6" s="11" t="s">
        <v>254</v>
      </c>
      <c r="Z6" s="11" t="s">
        <v>197</v>
      </c>
      <c r="AA6" s="12" t="s">
        <v>364</v>
      </c>
      <c r="AB6" s="103" t="s">
        <v>1166</v>
      </c>
    </row>
    <row r="7" spans="1:28" x14ac:dyDescent="0.3">
      <c r="A7" s="32"/>
      <c r="B7" s="32"/>
      <c r="C7" s="361" t="s">
        <v>1109</v>
      </c>
      <c r="D7" s="32" t="s">
        <v>1450</v>
      </c>
      <c r="E7" s="876" t="s">
        <v>376</v>
      </c>
      <c r="F7" s="32" t="s">
        <v>1354</v>
      </c>
      <c r="G7" s="32" t="s">
        <v>1629</v>
      </c>
      <c r="H7" s="35" t="s">
        <v>842</v>
      </c>
      <c r="I7" s="961"/>
      <c r="J7" s="961"/>
      <c r="K7" s="150">
        <v>1498465.9800000002</v>
      </c>
      <c r="L7" s="119" t="s">
        <v>31</v>
      </c>
      <c r="M7" s="33" t="s">
        <v>669</v>
      </c>
      <c r="N7" s="119" t="s">
        <v>31</v>
      </c>
      <c r="O7" s="103" t="s">
        <v>669</v>
      </c>
      <c r="P7" s="103" t="s">
        <v>237</v>
      </c>
      <c r="Q7" s="276" t="s">
        <v>824</v>
      </c>
      <c r="R7" s="276" t="s">
        <v>824</v>
      </c>
      <c r="S7" s="276" t="s">
        <v>824</v>
      </c>
      <c r="T7" s="276" t="s">
        <v>824</v>
      </c>
      <c r="U7" s="276" t="s">
        <v>670</v>
      </c>
      <c r="V7" s="276" t="s">
        <v>670</v>
      </c>
      <c r="W7" s="361">
        <v>14</v>
      </c>
      <c r="X7" s="361" t="s">
        <v>1109</v>
      </c>
      <c r="Y7" s="11" t="s">
        <v>253</v>
      </c>
      <c r="Z7" s="11" t="s">
        <v>197</v>
      </c>
      <c r="AA7" s="12" t="s">
        <v>364</v>
      </c>
      <c r="AB7" s="103" t="s">
        <v>1167</v>
      </c>
    </row>
    <row r="8" spans="1:28" x14ac:dyDescent="0.3">
      <c r="A8" s="32"/>
      <c r="B8" s="32"/>
      <c r="C8" s="361" t="s">
        <v>1110</v>
      </c>
      <c r="D8" s="32" t="s">
        <v>1451</v>
      </c>
      <c r="E8" s="876" t="s">
        <v>376</v>
      </c>
      <c r="F8" s="32" t="s">
        <v>614</v>
      </c>
      <c r="G8" s="32" t="s">
        <v>1630</v>
      </c>
      <c r="H8" s="35" t="s">
        <v>842</v>
      </c>
      <c r="I8" s="961"/>
      <c r="J8" s="961"/>
      <c r="K8" s="150">
        <v>632850.56999999995</v>
      </c>
      <c r="L8" s="119" t="s">
        <v>31</v>
      </c>
      <c r="M8" s="33" t="s">
        <v>669</v>
      </c>
      <c r="N8" s="119" t="s">
        <v>31</v>
      </c>
      <c r="O8" s="103" t="s">
        <v>669</v>
      </c>
      <c r="P8" s="103" t="s">
        <v>237</v>
      </c>
      <c r="Q8" s="276" t="s">
        <v>824</v>
      </c>
      <c r="R8" s="276" t="s">
        <v>824</v>
      </c>
      <c r="S8" s="276" t="s">
        <v>824</v>
      </c>
      <c r="T8" s="276" t="s">
        <v>824</v>
      </c>
      <c r="U8" s="276" t="s">
        <v>670</v>
      </c>
      <c r="V8" s="276" t="s">
        <v>670</v>
      </c>
      <c r="W8" s="361">
        <v>15</v>
      </c>
      <c r="X8" s="361" t="s">
        <v>1110</v>
      </c>
      <c r="Y8" s="11" t="s">
        <v>252</v>
      </c>
      <c r="Z8" s="11" t="s">
        <v>197</v>
      </c>
      <c r="AA8" s="12" t="s">
        <v>364</v>
      </c>
      <c r="AB8" s="103" t="s">
        <v>1168</v>
      </c>
    </row>
    <row r="9" spans="1:28" x14ac:dyDescent="0.3">
      <c r="A9" s="32"/>
      <c r="B9" s="32"/>
      <c r="C9" s="361" t="s">
        <v>1111</v>
      </c>
      <c r="D9" s="32" t="s">
        <v>1452</v>
      </c>
      <c r="E9" s="876" t="s">
        <v>376</v>
      </c>
      <c r="F9" s="32" t="s">
        <v>1353</v>
      </c>
      <c r="G9" s="32" t="s">
        <v>1631</v>
      </c>
      <c r="H9" s="35" t="s">
        <v>842</v>
      </c>
      <c r="I9" s="961"/>
      <c r="J9" s="961"/>
      <c r="K9" s="150">
        <v>1079841.51</v>
      </c>
      <c r="L9" s="119" t="s">
        <v>31</v>
      </c>
      <c r="M9" s="33" t="s">
        <v>669</v>
      </c>
      <c r="N9" s="119" t="s">
        <v>31</v>
      </c>
      <c r="O9" s="103" t="s">
        <v>669</v>
      </c>
      <c r="P9" s="103" t="s">
        <v>237</v>
      </c>
      <c r="Q9" s="276" t="s">
        <v>824</v>
      </c>
      <c r="R9" s="276" t="s">
        <v>824</v>
      </c>
      <c r="S9" s="276" t="s">
        <v>824</v>
      </c>
      <c r="T9" s="276" t="s">
        <v>824</v>
      </c>
      <c r="U9" s="276" t="s">
        <v>670</v>
      </c>
      <c r="V9" s="276" t="s">
        <v>670</v>
      </c>
      <c r="W9" s="361">
        <v>17</v>
      </c>
      <c r="X9" s="361" t="s">
        <v>1111</v>
      </c>
      <c r="Y9" s="11" t="s">
        <v>251</v>
      </c>
      <c r="Z9" s="11" t="s">
        <v>197</v>
      </c>
      <c r="AA9" s="12" t="s">
        <v>364</v>
      </c>
      <c r="AB9" s="103" t="s">
        <v>1169</v>
      </c>
    </row>
    <row r="10" spans="1:28" x14ac:dyDescent="0.3">
      <c r="A10" s="32"/>
      <c r="B10" s="32"/>
      <c r="C10" s="361" t="s">
        <v>1112</v>
      </c>
      <c r="D10" s="32" t="s">
        <v>1453</v>
      </c>
      <c r="E10" s="32" t="s">
        <v>427</v>
      </c>
      <c r="F10" s="32" t="s">
        <v>728</v>
      </c>
      <c r="G10" s="32" t="s">
        <v>475</v>
      </c>
      <c r="H10" s="35" t="s">
        <v>842</v>
      </c>
      <c r="I10" s="961"/>
      <c r="J10" s="961"/>
      <c r="K10" s="150">
        <v>1258041.5100000002</v>
      </c>
      <c r="L10" s="119" t="s">
        <v>31</v>
      </c>
      <c r="M10" s="33" t="s">
        <v>669</v>
      </c>
      <c r="N10" s="119" t="s">
        <v>31</v>
      </c>
      <c r="O10" s="103" t="s">
        <v>669</v>
      </c>
      <c r="P10" s="103" t="s">
        <v>237</v>
      </c>
      <c r="Q10" s="276" t="s">
        <v>824</v>
      </c>
      <c r="R10" s="276" t="s">
        <v>824</v>
      </c>
      <c r="S10" s="276" t="s">
        <v>824</v>
      </c>
      <c r="T10" s="276"/>
      <c r="U10" s="276" t="s">
        <v>670</v>
      </c>
      <c r="V10" s="276" t="s">
        <v>670</v>
      </c>
      <c r="W10" s="361">
        <v>18</v>
      </c>
      <c r="X10" s="361" t="s">
        <v>1112</v>
      </c>
      <c r="Y10" s="11" t="s">
        <v>250</v>
      </c>
      <c r="Z10" s="11" t="s">
        <v>197</v>
      </c>
      <c r="AA10" s="12" t="s">
        <v>364</v>
      </c>
      <c r="AB10" s="103" t="s">
        <v>1168</v>
      </c>
    </row>
    <row r="11" spans="1:28" x14ac:dyDescent="0.3">
      <c r="A11" s="32"/>
      <c r="B11" s="32"/>
      <c r="C11" s="361" t="s">
        <v>1113</v>
      </c>
      <c r="D11" s="32" t="s">
        <v>1454</v>
      </c>
      <c r="E11" s="32" t="s">
        <v>427</v>
      </c>
      <c r="F11" s="32" t="s">
        <v>1632</v>
      </c>
      <c r="G11" s="32" t="s">
        <v>536</v>
      </c>
      <c r="H11" s="35" t="s">
        <v>842</v>
      </c>
      <c r="I11" s="961"/>
      <c r="J11" s="961"/>
      <c r="K11" s="150">
        <v>1946478.6</v>
      </c>
      <c r="L11" s="119" t="s">
        <v>31</v>
      </c>
      <c r="M11" s="33" t="s">
        <v>669</v>
      </c>
      <c r="N11" s="119" t="s">
        <v>31</v>
      </c>
      <c r="O11" s="103" t="s">
        <v>669</v>
      </c>
      <c r="P11" s="103" t="s">
        <v>237</v>
      </c>
      <c r="Q11" s="276" t="s">
        <v>824</v>
      </c>
      <c r="R11" s="276" t="s">
        <v>824</v>
      </c>
      <c r="S11" s="276" t="s">
        <v>824</v>
      </c>
      <c r="T11" s="276" t="s">
        <v>824</v>
      </c>
      <c r="U11" s="276" t="s">
        <v>670</v>
      </c>
      <c r="V11" s="276" t="s">
        <v>670</v>
      </c>
      <c r="W11" s="361">
        <v>19</v>
      </c>
      <c r="X11" s="361" t="s">
        <v>1113</v>
      </c>
      <c r="Y11" s="11" t="s">
        <v>249</v>
      </c>
      <c r="Z11" s="11" t="s">
        <v>197</v>
      </c>
      <c r="AA11" s="12" t="s">
        <v>364</v>
      </c>
      <c r="AB11" s="103" t="s">
        <v>772</v>
      </c>
    </row>
    <row r="12" spans="1:28" x14ac:dyDescent="0.3">
      <c r="A12" s="32"/>
      <c r="B12" s="32"/>
      <c r="C12" s="361" t="s">
        <v>1114</v>
      </c>
      <c r="D12" s="32" t="s">
        <v>1455</v>
      </c>
      <c r="E12" s="876" t="s">
        <v>376</v>
      </c>
      <c r="F12" s="32" t="s">
        <v>536</v>
      </c>
      <c r="G12" s="32" t="s">
        <v>855</v>
      </c>
      <c r="H12" s="35" t="s">
        <v>842</v>
      </c>
      <c r="I12" s="961"/>
      <c r="J12" s="961"/>
      <c r="K12" s="150">
        <v>471638.97000000003</v>
      </c>
      <c r="L12" s="119" t="s">
        <v>31</v>
      </c>
      <c r="M12" s="33" t="s">
        <v>669</v>
      </c>
      <c r="N12" s="119" t="s">
        <v>31</v>
      </c>
      <c r="O12" s="103" t="s">
        <v>669</v>
      </c>
      <c r="P12" s="103" t="s">
        <v>237</v>
      </c>
      <c r="Q12" s="276" t="s">
        <v>824</v>
      </c>
      <c r="R12" s="276" t="s">
        <v>824</v>
      </c>
      <c r="S12" s="276" t="s">
        <v>824</v>
      </c>
      <c r="T12" s="276" t="s">
        <v>824</v>
      </c>
      <c r="U12" s="276" t="s">
        <v>670</v>
      </c>
      <c r="V12" s="276" t="s">
        <v>670</v>
      </c>
      <c r="W12" s="361">
        <v>21</v>
      </c>
      <c r="X12" s="361" t="s">
        <v>1114</v>
      </c>
      <c r="Y12" s="11" t="s">
        <v>248</v>
      </c>
      <c r="Z12" s="11" t="s">
        <v>197</v>
      </c>
      <c r="AA12" s="12" t="s">
        <v>364</v>
      </c>
      <c r="AB12" s="103" t="s">
        <v>1170</v>
      </c>
    </row>
    <row r="13" spans="1:28" x14ac:dyDescent="0.3">
      <c r="A13" s="32"/>
      <c r="B13" s="32"/>
      <c r="C13" s="361" t="s">
        <v>1116</v>
      </c>
      <c r="D13" s="32" t="s">
        <v>1456</v>
      </c>
      <c r="E13" s="876" t="s">
        <v>376</v>
      </c>
      <c r="F13" s="32" t="s">
        <v>732</v>
      </c>
      <c r="G13" s="32" t="s">
        <v>475</v>
      </c>
      <c r="H13" s="35" t="s">
        <v>842</v>
      </c>
      <c r="I13" s="961"/>
      <c r="J13" s="961"/>
      <c r="K13" s="150">
        <v>1990360.4045454548</v>
      </c>
      <c r="L13" s="119" t="s">
        <v>31</v>
      </c>
      <c r="M13" s="33" t="s">
        <v>669</v>
      </c>
      <c r="N13" s="119" t="s">
        <v>31</v>
      </c>
      <c r="O13" s="103" t="s">
        <v>669</v>
      </c>
      <c r="P13" s="103" t="s">
        <v>237</v>
      </c>
      <c r="Q13" s="276" t="s">
        <v>824</v>
      </c>
      <c r="R13" s="276" t="s">
        <v>824</v>
      </c>
      <c r="S13" s="276" t="s">
        <v>824</v>
      </c>
      <c r="T13" s="276" t="s">
        <v>824</v>
      </c>
      <c r="U13" s="276" t="s">
        <v>670</v>
      </c>
      <c r="V13" s="276" t="s">
        <v>670</v>
      </c>
      <c r="W13" s="361">
        <v>24</v>
      </c>
      <c r="X13" s="361" t="s">
        <v>1116</v>
      </c>
      <c r="Y13" s="11" t="s">
        <v>246</v>
      </c>
      <c r="Z13" s="11" t="s">
        <v>197</v>
      </c>
      <c r="AA13" s="12" t="s">
        <v>364</v>
      </c>
      <c r="AB13" s="116" t="s">
        <v>1172</v>
      </c>
    </row>
    <row r="14" spans="1:28" x14ac:dyDescent="0.3">
      <c r="A14" s="32"/>
      <c r="B14" s="32"/>
      <c r="C14" s="361" t="s">
        <v>1117</v>
      </c>
      <c r="D14" s="32" t="s">
        <v>1457</v>
      </c>
      <c r="E14" s="876" t="s">
        <v>376</v>
      </c>
      <c r="F14" s="32" t="s">
        <v>878</v>
      </c>
      <c r="G14" s="32" t="s">
        <v>727</v>
      </c>
      <c r="H14" s="35" t="s">
        <v>842</v>
      </c>
      <c r="I14" s="961"/>
      <c r="J14" s="961"/>
      <c r="K14" s="150">
        <v>1192440.1772727272</v>
      </c>
      <c r="L14" s="119" t="s">
        <v>31</v>
      </c>
      <c r="M14" s="33" t="s">
        <v>669</v>
      </c>
      <c r="N14" s="119" t="s">
        <v>31</v>
      </c>
      <c r="O14" s="103" t="s">
        <v>669</v>
      </c>
      <c r="P14" s="103" t="s">
        <v>237</v>
      </c>
      <c r="Q14" s="276" t="s">
        <v>824</v>
      </c>
      <c r="R14" s="276" t="s">
        <v>824</v>
      </c>
      <c r="S14" s="276" t="s">
        <v>824</v>
      </c>
      <c r="T14" s="276" t="s">
        <v>824</v>
      </c>
      <c r="U14" s="276" t="s">
        <v>670</v>
      </c>
      <c r="V14" s="276" t="s">
        <v>670</v>
      </c>
      <c r="W14" s="361">
        <v>27</v>
      </c>
      <c r="X14" s="361" t="s">
        <v>1117</v>
      </c>
      <c r="Y14" s="11" t="s">
        <v>245</v>
      </c>
      <c r="Z14" s="11" t="s">
        <v>197</v>
      </c>
      <c r="AA14" s="12" t="s">
        <v>364</v>
      </c>
      <c r="AB14" s="103" t="s">
        <v>1173</v>
      </c>
    </row>
    <row r="15" spans="1:28" x14ac:dyDescent="0.3">
      <c r="A15" s="32"/>
      <c r="B15" s="32"/>
      <c r="C15" s="361" t="s">
        <v>1118</v>
      </c>
      <c r="D15" s="32" t="s">
        <v>1458</v>
      </c>
      <c r="E15" s="876" t="s">
        <v>376</v>
      </c>
      <c r="F15" s="32" t="s">
        <v>485</v>
      </c>
      <c r="G15" s="32" t="s">
        <v>1352</v>
      </c>
      <c r="H15" s="35" t="s">
        <v>842</v>
      </c>
      <c r="I15" s="961"/>
      <c r="J15" s="961"/>
      <c r="K15" s="150">
        <v>174638.97000000003</v>
      </c>
      <c r="L15" s="119" t="s">
        <v>31</v>
      </c>
      <c r="M15" s="33" t="s">
        <v>669</v>
      </c>
      <c r="N15" s="119" t="s">
        <v>31</v>
      </c>
      <c r="O15" s="103" t="s">
        <v>669</v>
      </c>
      <c r="P15" s="103" t="s">
        <v>237</v>
      </c>
      <c r="Q15" s="276" t="s">
        <v>824</v>
      </c>
      <c r="R15" s="276" t="s">
        <v>824</v>
      </c>
      <c r="S15" s="276" t="s">
        <v>824</v>
      </c>
      <c r="T15" s="276" t="s">
        <v>824</v>
      </c>
      <c r="U15" s="276" t="s">
        <v>670</v>
      </c>
      <c r="V15" s="276" t="s">
        <v>670</v>
      </c>
      <c r="W15" s="361">
        <v>29</v>
      </c>
      <c r="X15" s="361" t="s">
        <v>1118</v>
      </c>
      <c r="Y15" s="11" t="s">
        <v>244</v>
      </c>
      <c r="Z15" s="11" t="s">
        <v>197</v>
      </c>
      <c r="AA15" s="12" t="s">
        <v>364</v>
      </c>
      <c r="AB15" s="103" t="s">
        <v>1168</v>
      </c>
    </row>
    <row r="16" spans="1:28" x14ac:dyDescent="0.3">
      <c r="A16" s="32"/>
      <c r="B16" s="32"/>
      <c r="C16" s="361" t="s">
        <v>1119</v>
      </c>
      <c r="D16" s="32" t="s">
        <v>1459</v>
      </c>
      <c r="E16" s="876" t="s">
        <v>376</v>
      </c>
      <c r="F16" s="32" t="s">
        <v>485</v>
      </c>
      <c r="G16" s="32" t="s">
        <v>1355</v>
      </c>
      <c r="H16" s="35" t="s">
        <v>842</v>
      </c>
      <c r="I16" s="961"/>
      <c r="J16" s="961"/>
      <c r="K16" s="150">
        <v>763981.29</v>
      </c>
      <c r="L16" s="119" t="s">
        <v>31</v>
      </c>
      <c r="M16" s="33" t="s">
        <v>669</v>
      </c>
      <c r="N16" s="119" t="s">
        <v>31</v>
      </c>
      <c r="O16" s="103" t="s">
        <v>669</v>
      </c>
      <c r="P16" s="103" t="s">
        <v>237</v>
      </c>
      <c r="Q16" s="276" t="s">
        <v>824</v>
      </c>
      <c r="R16" s="276" t="s">
        <v>824</v>
      </c>
      <c r="S16" s="276" t="s">
        <v>824</v>
      </c>
      <c r="T16" s="276" t="s">
        <v>824</v>
      </c>
      <c r="U16" s="276" t="s">
        <v>670</v>
      </c>
      <c r="V16" s="276" t="s">
        <v>670</v>
      </c>
      <c r="W16" s="361">
        <v>30</v>
      </c>
      <c r="X16" s="361" t="s">
        <v>1119</v>
      </c>
      <c r="Y16" s="11" t="s">
        <v>243</v>
      </c>
      <c r="Z16" s="11" t="s">
        <v>197</v>
      </c>
      <c r="AA16" s="12" t="s">
        <v>364</v>
      </c>
      <c r="AB16" s="103" t="s">
        <v>1170</v>
      </c>
    </row>
    <row r="17" spans="1:28" x14ac:dyDescent="0.3">
      <c r="A17" s="32"/>
      <c r="B17" s="32"/>
      <c r="C17" s="361" t="s">
        <v>1120</v>
      </c>
      <c r="D17" s="32" t="s">
        <v>1460</v>
      </c>
      <c r="E17" s="876" t="s">
        <v>376</v>
      </c>
      <c r="F17" s="32" t="s">
        <v>867</v>
      </c>
      <c r="G17" s="32" t="s">
        <v>1355</v>
      </c>
      <c r="H17" s="35" t="s">
        <v>842</v>
      </c>
      <c r="I17" s="961"/>
      <c r="J17" s="961"/>
      <c r="K17" s="150">
        <v>392666.67000000004</v>
      </c>
      <c r="L17" s="119" t="s">
        <v>31</v>
      </c>
      <c r="M17" s="33" t="s">
        <v>669</v>
      </c>
      <c r="N17" s="119" t="s">
        <v>31</v>
      </c>
      <c r="O17" s="103" t="s">
        <v>669</v>
      </c>
      <c r="P17" s="103" t="s">
        <v>237</v>
      </c>
      <c r="Q17" s="276" t="s">
        <v>824</v>
      </c>
      <c r="R17" s="276" t="s">
        <v>824</v>
      </c>
      <c r="S17" s="276" t="s">
        <v>824</v>
      </c>
      <c r="T17" s="276" t="s">
        <v>824</v>
      </c>
      <c r="U17" s="276" t="s">
        <v>670</v>
      </c>
      <c r="V17" s="276" t="s">
        <v>670</v>
      </c>
      <c r="W17" s="361">
        <v>31</v>
      </c>
      <c r="X17" s="361" t="s">
        <v>1120</v>
      </c>
      <c r="Y17" s="11" t="s">
        <v>242</v>
      </c>
      <c r="Z17" s="11" t="s">
        <v>197</v>
      </c>
      <c r="AA17" s="12" t="s">
        <v>364</v>
      </c>
      <c r="AB17" s="103" t="s">
        <v>1170</v>
      </c>
    </row>
    <row r="18" spans="1:28" x14ac:dyDescent="0.3">
      <c r="A18" s="32"/>
      <c r="B18" s="32"/>
      <c r="C18" s="361" t="s">
        <v>1121</v>
      </c>
      <c r="D18" s="32" t="s">
        <v>1461</v>
      </c>
      <c r="E18" s="32" t="s">
        <v>124</v>
      </c>
      <c r="F18" s="32" t="s">
        <v>124</v>
      </c>
      <c r="G18" s="32" t="s">
        <v>1351</v>
      </c>
      <c r="H18" s="35" t="s">
        <v>842</v>
      </c>
      <c r="I18" s="961"/>
      <c r="J18" s="961"/>
      <c r="K18" s="150">
        <v>1074920.22</v>
      </c>
      <c r="L18" s="119" t="s">
        <v>31</v>
      </c>
      <c r="M18" s="33" t="s">
        <v>669</v>
      </c>
      <c r="N18" s="119" t="s">
        <v>31</v>
      </c>
      <c r="O18" s="118" t="s">
        <v>669</v>
      </c>
      <c r="P18" s="103" t="s">
        <v>237</v>
      </c>
      <c r="Q18" s="276" t="s">
        <v>824</v>
      </c>
      <c r="R18" s="276" t="s">
        <v>824</v>
      </c>
      <c r="S18" s="276" t="s">
        <v>824</v>
      </c>
      <c r="T18" s="276"/>
      <c r="U18" s="276" t="s">
        <v>670</v>
      </c>
      <c r="V18" s="276" t="s">
        <v>670</v>
      </c>
      <c r="W18" s="361">
        <v>32</v>
      </c>
      <c r="X18" s="361" t="s">
        <v>1121</v>
      </c>
      <c r="Y18" s="11" t="s">
        <v>241</v>
      </c>
      <c r="Z18" s="11" t="s">
        <v>197</v>
      </c>
      <c r="AA18" s="12" t="s">
        <v>364</v>
      </c>
      <c r="AB18" s="103" t="s">
        <v>1174</v>
      </c>
    </row>
    <row r="19" spans="1:28" x14ac:dyDescent="0.3">
      <c r="A19" s="32"/>
      <c r="B19" s="32"/>
      <c r="C19" s="361" t="s">
        <v>1488</v>
      </c>
      <c r="D19" s="32" t="s">
        <v>1489</v>
      </c>
      <c r="E19" s="990" t="s">
        <v>1490</v>
      </c>
      <c r="F19" s="32" t="s">
        <v>1491</v>
      </c>
      <c r="G19" s="32" t="s">
        <v>795</v>
      </c>
      <c r="H19" s="35" t="s">
        <v>843</v>
      </c>
      <c r="I19" s="961"/>
      <c r="J19" s="961"/>
      <c r="K19" s="741">
        <v>379120.49999999994</v>
      </c>
      <c r="L19" s="119" t="s">
        <v>31</v>
      </c>
      <c r="M19" s="33" t="s">
        <v>1019</v>
      </c>
      <c r="N19" s="119" t="s">
        <v>31</v>
      </c>
      <c r="O19" s="118" t="s">
        <v>57</v>
      </c>
      <c r="P19" s="103" t="s">
        <v>237</v>
      </c>
      <c r="Q19" s="276"/>
      <c r="R19" s="276" t="s">
        <v>824</v>
      </c>
      <c r="S19" s="276" t="s">
        <v>824</v>
      </c>
      <c r="T19" s="276"/>
      <c r="U19" s="276" t="s">
        <v>670</v>
      </c>
      <c r="V19" s="276" t="s">
        <v>670</v>
      </c>
      <c r="W19" s="361">
        <v>33</v>
      </c>
      <c r="X19" s="361" t="s">
        <v>1488</v>
      </c>
      <c r="Y19" s="1082" t="s">
        <v>376</v>
      </c>
      <c r="Z19" s="11" t="s">
        <v>197</v>
      </c>
      <c r="AA19" s="12" t="s">
        <v>364</v>
      </c>
      <c r="AB19" s="103" t="s">
        <v>1492</v>
      </c>
    </row>
    <row r="20" spans="1:28" x14ac:dyDescent="0.3">
      <c r="A20" s="32"/>
      <c r="B20" s="32"/>
      <c r="C20" s="361" t="s">
        <v>1122</v>
      </c>
      <c r="D20" s="32" t="s">
        <v>1462</v>
      </c>
      <c r="E20" s="876" t="s">
        <v>376</v>
      </c>
      <c r="F20" s="32" t="s">
        <v>614</v>
      </c>
      <c r="G20" s="32" t="s">
        <v>794</v>
      </c>
      <c r="H20" s="35" t="s">
        <v>842</v>
      </c>
      <c r="I20" s="961"/>
      <c r="J20" s="961"/>
      <c r="K20" s="150">
        <v>430851.96</v>
      </c>
      <c r="L20" s="119" t="s">
        <v>705</v>
      </c>
      <c r="M20" s="33" t="s">
        <v>1019</v>
      </c>
      <c r="N20" s="119" t="s">
        <v>31</v>
      </c>
      <c r="O20" s="103" t="s">
        <v>57</v>
      </c>
      <c r="P20" s="103" t="s">
        <v>237</v>
      </c>
      <c r="Q20" s="276" t="s">
        <v>824</v>
      </c>
      <c r="R20" s="276" t="s">
        <v>824</v>
      </c>
      <c r="S20" s="276" t="s">
        <v>824</v>
      </c>
      <c r="T20" s="276" t="s">
        <v>824</v>
      </c>
      <c r="U20" s="276" t="s">
        <v>670</v>
      </c>
      <c r="V20" s="276" t="s">
        <v>670</v>
      </c>
      <c r="W20" s="361">
        <v>35</v>
      </c>
      <c r="X20" s="361" t="s">
        <v>1122</v>
      </c>
      <c r="Y20" s="11" t="s">
        <v>240</v>
      </c>
      <c r="Z20" s="11" t="s">
        <v>197</v>
      </c>
      <c r="AA20" s="12" t="s">
        <v>364</v>
      </c>
      <c r="AB20" s="103" t="s">
        <v>1176</v>
      </c>
    </row>
    <row r="21" spans="1:28" x14ac:dyDescent="0.3">
      <c r="A21" s="32"/>
      <c r="B21" s="32"/>
      <c r="C21" s="361" t="s">
        <v>1123</v>
      </c>
      <c r="D21" s="35" t="s">
        <v>1463</v>
      </c>
      <c r="E21" s="32" t="s">
        <v>1134</v>
      </c>
      <c r="F21" s="35" t="s">
        <v>1377</v>
      </c>
      <c r="G21" s="35" t="s">
        <v>1004</v>
      </c>
      <c r="H21" s="35" t="s">
        <v>842</v>
      </c>
      <c r="I21" s="961"/>
      <c r="J21" s="961"/>
      <c r="K21" s="150">
        <v>430851.96</v>
      </c>
      <c r="L21" s="119" t="s">
        <v>705</v>
      </c>
      <c r="M21" s="33" t="s">
        <v>1019</v>
      </c>
      <c r="N21" s="119" t="s">
        <v>31</v>
      </c>
      <c r="O21" s="103" t="s">
        <v>57</v>
      </c>
      <c r="P21" s="103" t="s">
        <v>237</v>
      </c>
      <c r="Q21" s="276" t="s">
        <v>824</v>
      </c>
      <c r="R21" s="276" t="s">
        <v>824</v>
      </c>
      <c r="S21" s="276" t="s">
        <v>824</v>
      </c>
      <c r="T21" s="276" t="s">
        <v>824</v>
      </c>
      <c r="U21" s="276" t="s">
        <v>670</v>
      </c>
      <c r="V21" s="276" t="s">
        <v>670</v>
      </c>
      <c r="W21" s="361">
        <v>36</v>
      </c>
      <c r="X21" s="361" t="s">
        <v>1123</v>
      </c>
      <c r="Y21" s="11" t="s">
        <v>239</v>
      </c>
      <c r="Z21" s="11" t="s">
        <v>197</v>
      </c>
      <c r="AA21" s="12" t="s">
        <v>364</v>
      </c>
      <c r="AB21" s="103" t="s">
        <v>1171</v>
      </c>
    </row>
    <row r="22" spans="1:28" x14ac:dyDescent="0.3">
      <c r="A22" s="35"/>
      <c r="B22" s="35"/>
      <c r="C22" s="361" t="s">
        <v>1124</v>
      </c>
      <c r="D22" s="35" t="s">
        <v>1464</v>
      </c>
      <c r="E22" s="876" t="s">
        <v>376</v>
      </c>
      <c r="F22" s="35" t="s">
        <v>614</v>
      </c>
      <c r="G22" s="35" t="s">
        <v>839</v>
      </c>
      <c r="H22" s="35" t="s">
        <v>842</v>
      </c>
      <c r="I22" s="961">
        <v>3000000</v>
      </c>
      <c r="J22" s="962">
        <v>1.1399999999999999</v>
      </c>
      <c r="K22" s="1050">
        <v>3419999.9999999995</v>
      </c>
      <c r="L22" s="119" t="s">
        <v>31</v>
      </c>
      <c r="M22" s="33" t="s">
        <v>1019</v>
      </c>
      <c r="N22" s="119" t="s">
        <v>31</v>
      </c>
      <c r="O22" s="103" t="s">
        <v>57</v>
      </c>
      <c r="P22" s="103" t="s">
        <v>237</v>
      </c>
      <c r="Q22" s="276" t="s">
        <v>824</v>
      </c>
      <c r="R22" s="276" t="s">
        <v>824</v>
      </c>
      <c r="S22" s="275" t="s">
        <v>824</v>
      </c>
      <c r="T22" s="275" t="s">
        <v>824</v>
      </c>
      <c r="U22" s="275" t="s">
        <v>670</v>
      </c>
      <c r="V22" s="276" t="s">
        <v>670</v>
      </c>
      <c r="W22" s="361">
        <v>38</v>
      </c>
      <c r="X22" s="361" t="s">
        <v>1124</v>
      </c>
      <c r="Y22" s="36" t="s">
        <v>236</v>
      </c>
      <c r="Z22" s="36" t="s">
        <v>197</v>
      </c>
      <c r="AA22" s="12" t="s">
        <v>364</v>
      </c>
      <c r="AB22" s="104" t="s">
        <v>1363</v>
      </c>
    </row>
    <row r="23" spans="1:28" x14ac:dyDescent="0.3">
      <c r="A23" s="35"/>
      <c r="B23" s="35"/>
      <c r="C23" s="361" t="s">
        <v>1125</v>
      </c>
      <c r="D23" s="35" t="s">
        <v>1465</v>
      </c>
      <c r="E23" s="876" t="s">
        <v>376</v>
      </c>
      <c r="F23" s="35" t="s">
        <v>862</v>
      </c>
      <c r="G23" s="35" t="s">
        <v>1339</v>
      </c>
      <c r="H23" s="35" t="s">
        <v>843</v>
      </c>
      <c r="I23" s="961"/>
      <c r="J23" s="962"/>
      <c r="K23" s="150">
        <v>290468.97000000003</v>
      </c>
      <c r="L23" s="119" t="s">
        <v>705</v>
      </c>
      <c r="M23" s="33" t="s">
        <v>1019</v>
      </c>
      <c r="N23" s="119" t="s">
        <v>31</v>
      </c>
      <c r="O23" s="103" t="s">
        <v>57</v>
      </c>
      <c r="P23" s="103" t="s">
        <v>237</v>
      </c>
      <c r="Q23" s="276" t="s">
        <v>824</v>
      </c>
      <c r="R23" s="276" t="s">
        <v>824</v>
      </c>
      <c r="S23" s="275"/>
      <c r="T23" s="275"/>
      <c r="U23" s="275" t="s">
        <v>670</v>
      </c>
      <c r="V23" s="276" t="s">
        <v>670</v>
      </c>
      <c r="W23" s="361">
        <v>24</v>
      </c>
      <c r="X23" s="361" t="s">
        <v>1125</v>
      </c>
      <c r="Y23" s="430" t="s">
        <v>376</v>
      </c>
      <c r="Z23" s="36" t="s">
        <v>197</v>
      </c>
      <c r="AA23" s="12" t="s">
        <v>364</v>
      </c>
      <c r="AB23" s="104" t="s">
        <v>1340</v>
      </c>
    </row>
    <row r="24" spans="1:28" x14ac:dyDescent="0.3">
      <c r="A24" s="35"/>
      <c r="B24" s="35"/>
      <c r="C24" s="361" t="s">
        <v>1126</v>
      </c>
      <c r="D24" s="35" t="s">
        <v>1466</v>
      </c>
      <c r="E24" s="876" t="s">
        <v>380</v>
      </c>
      <c r="F24" s="35" t="s">
        <v>1374</v>
      </c>
      <c r="G24" s="35" t="s">
        <v>794</v>
      </c>
      <c r="H24" s="35" t="s">
        <v>843</v>
      </c>
      <c r="I24" s="961"/>
      <c r="J24" s="962"/>
      <c r="K24" s="150">
        <v>104151.96000000002</v>
      </c>
      <c r="L24" s="119" t="s">
        <v>705</v>
      </c>
      <c r="M24" s="33" t="s">
        <v>1019</v>
      </c>
      <c r="N24" s="119" t="s">
        <v>31</v>
      </c>
      <c r="O24" s="103" t="s">
        <v>57</v>
      </c>
      <c r="P24" s="103" t="s">
        <v>237</v>
      </c>
      <c r="Q24" s="276" t="s">
        <v>1375</v>
      </c>
      <c r="R24" s="276" t="s">
        <v>1375</v>
      </c>
      <c r="S24" s="275" t="s">
        <v>1375</v>
      </c>
      <c r="T24" s="275"/>
      <c r="U24" s="275" t="s">
        <v>670</v>
      </c>
      <c r="V24" s="276" t="s">
        <v>670</v>
      </c>
      <c r="W24" s="361">
        <v>25</v>
      </c>
      <c r="X24" s="361" t="s">
        <v>1126</v>
      </c>
      <c r="Y24" s="430" t="s">
        <v>376</v>
      </c>
      <c r="Z24" s="36" t="s">
        <v>197</v>
      </c>
      <c r="AA24" s="12" t="s">
        <v>364</v>
      </c>
      <c r="AB24" s="104" t="s">
        <v>1376</v>
      </c>
    </row>
    <row r="25" spans="1:28" x14ac:dyDescent="0.3">
      <c r="A25" s="35"/>
      <c r="B25" s="35"/>
      <c r="C25" s="361" t="s">
        <v>1127</v>
      </c>
      <c r="D25" s="35" t="s">
        <v>1467</v>
      </c>
      <c r="E25" s="876" t="s">
        <v>376</v>
      </c>
      <c r="F25" s="32" t="s">
        <v>1349</v>
      </c>
      <c r="G25" s="35" t="s">
        <v>1005</v>
      </c>
      <c r="H25" s="35" t="s">
        <v>843</v>
      </c>
      <c r="I25" s="961"/>
      <c r="J25" s="961"/>
      <c r="K25" s="150">
        <v>247115.88</v>
      </c>
      <c r="L25" s="119" t="s">
        <v>705</v>
      </c>
      <c r="M25" s="33" t="s">
        <v>1019</v>
      </c>
      <c r="N25" s="119" t="s">
        <v>31</v>
      </c>
      <c r="O25" s="103" t="s">
        <v>57</v>
      </c>
      <c r="P25" s="103" t="s">
        <v>237</v>
      </c>
      <c r="Q25" s="276" t="s">
        <v>824</v>
      </c>
      <c r="R25" s="276" t="s">
        <v>824</v>
      </c>
      <c r="S25" s="275" t="s">
        <v>824</v>
      </c>
      <c r="T25" s="275" t="s">
        <v>824</v>
      </c>
      <c r="U25" s="275" t="s">
        <v>670</v>
      </c>
      <c r="V25" s="276" t="s">
        <v>670</v>
      </c>
      <c r="W25" s="361">
        <v>126</v>
      </c>
      <c r="X25" s="361" t="s">
        <v>1127</v>
      </c>
      <c r="Y25" s="430" t="s">
        <v>376</v>
      </c>
      <c r="Z25" s="36" t="s">
        <v>197</v>
      </c>
      <c r="AA25" s="12" t="s">
        <v>364</v>
      </c>
      <c r="AB25" s="104" t="s">
        <v>1168</v>
      </c>
    </row>
    <row r="26" spans="1:28" x14ac:dyDescent="0.3">
      <c r="A26" s="35"/>
      <c r="B26" s="35"/>
      <c r="C26" s="361" t="s">
        <v>1128</v>
      </c>
      <c r="D26" s="35" t="s">
        <v>1468</v>
      </c>
      <c r="E26" s="876" t="s">
        <v>376</v>
      </c>
      <c r="F26" s="32" t="s">
        <v>1349</v>
      </c>
      <c r="G26" s="35" t="s">
        <v>614</v>
      </c>
      <c r="H26" s="35" t="s">
        <v>843</v>
      </c>
      <c r="I26" s="961"/>
      <c r="J26" s="961"/>
      <c r="K26" s="150">
        <v>293049.90000000002</v>
      </c>
      <c r="L26" s="119" t="s">
        <v>705</v>
      </c>
      <c r="M26" s="33" t="s">
        <v>1019</v>
      </c>
      <c r="N26" s="119" t="s">
        <v>31</v>
      </c>
      <c r="O26" s="103" t="s">
        <v>57</v>
      </c>
      <c r="P26" s="103" t="s">
        <v>237</v>
      </c>
      <c r="Q26" s="276" t="s">
        <v>824</v>
      </c>
      <c r="R26" s="276" t="s">
        <v>824</v>
      </c>
      <c r="S26" s="275" t="s">
        <v>824</v>
      </c>
      <c r="T26" s="275" t="s">
        <v>824</v>
      </c>
      <c r="U26" s="275" t="s">
        <v>670</v>
      </c>
      <c r="V26" s="276" t="s">
        <v>670</v>
      </c>
      <c r="W26" s="361">
        <v>127</v>
      </c>
      <c r="X26" s="361" t="s">
        <v>1128</v>
      </c>
      <c r="Y26" s="430" t="s">
        <v>376</v>
      </c>
      <c r="Z26" s="11" t="s">
        <v>197</v>
      </c>
      <c r="AA26" s="12" t="s">
        <v>364</v>
      </c>
      <c r="AB26" s="104" t="s">
        <v>1168</v>
      </c>
    </row>
    <row r="27" spans="1:28" x14ac:dyDescent="0.3">
      <c r="A27" s="35"/>
      <c r="B27" s="35"/>
      <c r="C27" s="361" t="s">
        <v>1129</v>
      </c>
      <c r="D27" s="35" t="s">
        <v>1469</v>
      </c>
      <c r="E27" s="876" t="s">
        <v>376</v>
      </c>
      <c r="F27" s="35" t="s">
        <v>614</v>
      </c>
      <c r="G27" s="35" t="s">
        <v>839</v>
      </c>
      <c r="H27" s="35" t="s">
        <v>843</v>
      </c>
      <c r="I27" s="961"/>
      <c r="J27" s="961"/>
      <c r="K27" s="150">
        <v>290468.97000000003</v>
      </c>
      <c r="L27" s="119" t="s">
        <v>705</v>
      </c>
      <c r="M27" s="33" t="s">
        <v>1019</v>
      </c>
      <c r="N27" s="119" t="s">
        <v>31</v>
      </c>
      <c r="O27" s="103" t="s">
        <v>57</v>
      </c>
      <c r="P27" s="103" t="s">
        <v>237</v>
      </c>
      <c r="Q27" s="276" t="s">
        <v>824</v>
      </c>
      <c r="R27" s="276" t="s">
        <v>824</v>
      </c>
      <c r="S27" s="275" t="s">
        <v>824</v>
      </c>
      <c r="T27" s="275" t="s">
        <v>824</v>
      </c>
      <c r="U27" s="275" t="s">
        <v>670</v>
      </c>
      <c r="V27" s="276" t="s">
        <v>670</v>
      </c>
      <c r="W27" s="361">
        <v>128</v>
      </c>
      <c r="X27" s="361" t="s">
        <v>1129</v>
      </c>
      <c r="Y27" s="430" t="s">
        <v>376</v>
      </c>
      <c r="Z27" s="11" t="s">
        <v>197</v>
      </c>
      <c r="AA27" s="12" t="s">
        <v>364</v>
      </c>
      <c r="AB27" s="104" t="s">
        <v>1168</v>
      </c>
    </row>
    <row r="30" spans="1:28" x14ac:dyDescent="0.3">
      <c r="AB30" s="104" t="s">
        <v>587</v>
      </c>
    </row>
    <row r="31" spans="1:28" x14ac:dyDescent="0.3">
      <c r="AB31" s="104" t="s">
        <v>588</v>
      </c>
    </row>
  </sheetData>
  <autoFilter ref="A1:AB22" xr:uid="{17D1EBED-C11F-4407-9993-8692D857D229}"/>
  <phoneticPr fontId="29" type="noConversion"/>
  <conditionalFormatting sqref="L1:P1 H21:J21 U1:Z1 S22:V24 S20:T21 R14:T19 U14:W21 D1:E1 S25:W27 R20:R27 D22:D27 D2:D9 D20 F20:J20 F2:Z2 AA1:AB5 D10:J10 X6:AB27 A1:B27 R6:W13 D12:J19 D11:E11 H11:J11 F22:J27 F3:J9 L3:Z5 L6:Q27 K3:K18 K20:K27">
    <cfRule type="expression" dxfId="385" priority="47">
      <formula>MOD(ROW(),2)=0</formula>
    </cfRule>
  </conditionalFormatting>
  <conditionalFormatting sqref="AB30:AB31">
    <cfRule type="expression" dxfId="384" priority="41">
      <formula>MOD(ROW(),2)=0</formula>
    </cfRule>
  </conditionalFormatting>
  <conditionalFormatting sqref="W22:W24">
    <cfRule type="expression" dxfId="383" priority="38">
      <formula>MOD(ROW(),2)=0</formula>
    </cfRule>
  </conditionalFormatting>
  <conditionalFormatting sqref="D21 F21:G21">
    <cfRule type="expression" dxfId="382" priority="26">
      <formula>MOD(ROW(),2)=0</formula>
    </cfRule>
  </conditionalFormatting>
  <conditionalFormatting sqref="Q1:T1">
    <cfRule type="expression" dxfId="381" priority="17">
      <formula>MOD(ROW(),2)=0</formula>
    </cfRule>
  </conditionalFormatting>
  <conditionalFormatting sqref="J1:K1">
    <cfRule type="expression" dxfId="380" priority="11">
      <formula>MOD(ROW(),2)=0</formula>
    </cfRule>
  </conditionalFormatting>
  <conditionalFormatting sqref="E21">
    <cfRule type="expression" dxfId="379" priority="10">
      <formula>MOD(ROW(),2)=0</formula>
    </cfRule>
  </conditionalFormatting>
  <conditionalFormatting sqref="E2:E5">
    <cfRule type="expression" dxfId="378" priority="9">
      <formula>MOD(ROW(),2)=0</formula>
    </cfRule>
  </conditionalFormatting>
  <conditionalFormatting sqref="E6:E9">
    <cfRule type="expression" dxfId="377" priority="8">
      <formula>MOD(ROW(),2)=0</formula>
    </cfRule>
  </conditionalFormatting>
  <conditionalFormatting sqref="E20">
    <cfRule type="expression" dxfId="376" priority="6">
      <formula>MOD(ROW(),2)=0</formula>
    </cfRule>
  </conditionalFormatting>
  <conditionalFormatting sqref="E22:E27">
    <cfRule type="expression" dxfId="375" priority="5">
      <formula>MOD(ROW(),2)=0</formula>
    </cfRule>
  </conditionalFormatting>
  <conditionalFormatting sqref="F11:G11">
    <cfRule type="expression" dxfId="374" priority="3">
      <formula>MOD(ROW(),2)=0</formula>
    </cfRule>
  </conditionalFormatting>
  <conditionalFormatting sqref="C1:C27">
    <cfRule type="expression" dxfId="373" priority="2">
      <formula>MOD(ROW(),2)=0</formula>
    </cfRule>
  </conditionalFormatting>
  <conditionalFormatting sqref="K19">
    <cfRule type="expression" dxfId="372" priority="1">
      <formula>MOD(ROW(),2)=0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3B207-8423-4713-A371-0C9BEDCFC68B}">
  <dimension ref="A1:AI83"/>
  <sheetViews>
    <sheetView topLeftCell="E1" workbookViewId="0">
      <pane xSplit="2" ySplit="1" topLeftCell="G2" activePane="bottomRight" state="frozen"/>
      <selection activeCell="E1" sqref="E1"/>
      <selection pane="topRight" activeCell="G1" sqref="G1"/>
      <selection pane="bottomLeft" activeCell="E2" sqref="E2"/>
      <selection pane="bottomRight" activeCell="D71" sqref="D71"/>
    </sheetView>
  </sheetViews>
  <sheetFormatPr defaultColWidth="9.109375" defaultRowHeight="13.8" x14ac:dyDescent="0.3"/>
  <cols>
    <col min="1" max="2" width="9.109375" style="990" hidden="1" customWidth="1"/>
    <col min="3" max="3" width="6.5546875" style="30" hidden="1" customWidth="1"/>
    <col min="4" max="4" width="4.88671875" style="144" customWidth="1"/>
    <col min="5" max="5" width="6" style="144" customWidth="1"/>
    <col min="6" max="6" width="38.5546875" style="30" customWidth="1"/>
    <col min="7" max="7" width="8.109375" style="30" customWidth="1"/>
    <col min="8" max="8" width="31" style="121" customWidth="1"/>
    <col min="9" max="9" width="32.33203125" style="121" customWidth="1"/>
    <col min="10" max="10" width="7.33203125" style="46" customWidth="1"/>
    <col min="11" max="11" width="5.44140625" style="42" customWidth="1"/>
    <col min="12" max="12" width="10" style="42" hidden="1" customWidth="1"/>
    <col min="13" max="13" width="9" style="362" customWidth="1"/>
    <col min="14" max="14" width="13.88671875" style="969" customWidth="1"/>
    <col min="15" max="15" width="8.33203125" style="969" customWidth="1"/>
    <col min="16" max="16" width="13.88671875" style="255" customWidth="1"/>
    <col min="17" max="17" width="11.33203125" style="121" bestFit="1" customWidth="1"/>
    <col min="18" max="18" width="17.88671875" style="30" bestFit="1" customWidth="1"/>
    <col min="19" max="19" width="12" style="30" customWidth="1"/>
    <col min="20" max="20" width="8.109375" style="30" hidden="1" customWidth="1"/>
    <col min="21" max="21" width="18.88671875" style="30" customWidth="1"/>
    <col min="22" max="22" width="19.5546875" style="29" customWidth="1"/>
    <col min="23" max="26" width="4.33203125" style="30" customWidth="1"/>
    <col min="27" max="28" width="7" style="410" customWidth="1"/>
    <col min="29" max="29" width="5" style="283" customWidth="1"/>
    <col min="30" max="30" width="7.33203125" style="286" customWidth="1"/>
    <col min="31" max="31" width="14" style="30" hidden="1" customWidth="1"/>
    <col min="32" max="32" width="7.5546875" style="34" hidden="1" customWidth="1"/>
    <col min="33" max="33" width="20.88671875" style="46" hidden="1" customWidth="1"/>
    <col min="34" max="34" width="57.33203125" style="30" customWidth="1"/>
    <col min="35" max="16384" width="9.109375" style="30"/>
  </cols>
  <sheetData>
    <row r="1" spans="1:35" s="250" customFormat="1" ht="55.8" thickBot="1" x14ac:dyDescent="0.35">
      <c r="A1" s="989" t="s">
        <v>0</v>
      </c>
      <c r="B1" s="989" t="s">
        <v>1</v>
      </c>
      <c r="C1" s="985" t="s">
        <v>848</v>
      </c>
      <c r="D1" s="673" t="s">
        <v>739</v>
      </c>
      <c r="E1" s="673" t="s">
        <v>825</v>
      </c>
      <c r="F1" s="384" t="s">
        <v>261</v>
      </c>
      <c r="G1" s="384" t="s">
        <v>738</v>
      </c>
      <c r="H1" s="385" t="s">
        <v>729</v>
      </c>
      <c r="I1" s="385" t="s">
        <v>730</v>
      </c>
      <c r="J1" s="386" t="s">
        <v>773</v>
      </c>
      <c r="K1" s="387" t="s">
        <v>12</v>
      </c>
      <c r="L1" s="387" t="s">
        <v>841</v>
      </c>
      <c r="M1" s="402" t="s">
        <v>846</v>
      </c>
      <c r="N1" s="951" t="s">
        <v>1303</v>
      </c>
      <c r="O1" s="951" t="s">
        <v>1305</v>
      </c>
      <c r="P1" s="740" t="s">
        <v>1304</v>
      </c>
      <c r="Q1" s="388" t="s">
        <v>13</v>
      </c>
      <c r="R1" s="388" t="s">
        <v>14</v>
      </c>
      <c r="S1" s="388" t="s">
        <v>616</v>
      </c>
      <c r="T1" s="388" t="s">
        <v>336</v>
      </c>
      <c r="U1" s="388" t="s">
        <v>668</v>
      </c>
      <c r="V1" s="388" t="s">
        <v>15</v>
      </c>
      <c r="W1" s="905" t="s">
        <v>788</v>
      </c>
      <c r="X1" s="905" t="s">
        <v>789</v>
      </c>
      <c r="Y1" s="905" t="s">
        <v>790</v>
      </c>
      <c r="Z1" s="905" t="s">
        <v>48</v>
      </c>
      <c r="AA1" s="407" t="s">
        <v>775</v>
      </c>
      <c r="AB1" s="407" t="s">
        <v>776</v>
      </c>
      <c r="AC1" s="390" t="s">
        <v>965</v>
      </c>
      <c r="AD1" s="391" t="s">
        <v>739</v>
      </c>
      <c r="AE1" s="392" t="s">
        <v>22</v>
      </c>
      <c r="AF1" s="392" t="s">
        <v>23</v>
      </c>
      <c r="AG1" s="393" t="s">
        <v>363</v>
      </c>
      <c r="AH1" s="394" t="s">
        <v>21</v>
      </c>
    </row>
    <row r="2" spans="1:35" x14ac:dyDescent="0.3">
      <c r="C2" s="986">
        <v>1</v>
      </c>
      <c r="D2" s="524">
        <f>AD2</f>
        <v>102</v>
      </c>
      <c r="E2" s="524" t="s">
        <v>903</v>
      </c>
      <c r="F2" s="120" t="s">
        <v>1674</v>
      </c>
      <c r="G2" s="120" t="s">
        <v>1136</v>
      </c>
      <c r="H2" s="142" t="s">
        <v>855</v>
      </c>
      <c r="I2" s="142" t="s">
        <v>1065</v>
      </c>
      <c r="J2" s="279">
        <v>2257.8278209999999</v>
      </c>
      <c r="K2" s="921">
        <f t="shared" ref="K2:K28" si="0">J2/5280</f>
        <v>0.42761890549242421</v>
      </c>
      <c r="L2" s="43" t="s">
        <v>843</v>
      </c>
      <c r="M2" s="405"/>
      <c r="N2" s="952" t="s">
        <v>376</v>
      </c>
      <c r="O2" s="952"/>
      <c r="P2" s="741">
        <v>6441023.735380576</v>
      </c>
      <c r="Q2" s="33" t="s">
        <v>31</v>
      </c>
      <c r="R2" s="33" t="s">
        <v>1020</v>
      </c>
      <c r="S2" s="33" t="s">
        <v>31</v>
      </c>
      <c r="T2" s="33" t="str">
        <f>VLOOKUP($E2,Tiers!A:K,10,FALSE)</f>
        <v>Programmed</v>
      </c>
      <c r="U2" s="33" t="s">
        <v>777</v>
      </c>
      <c r="V2" s="31" t="s">
        <v>1481</v>
      </c>
      <c r="W2" s="48" t="s">
        <v>824</v>
      </c>
      <c r="X2" s="48" t="s">
        <v>824</v>
      </c>
      <c r="Y2" s="48" t="s">
        <v>824</v>
      </c>
      <c r="Z2" s="48" t="s">
        <v>824</v>
      </c>
      <c r="AA2" s="408">
        <v>2</v>
      </c>
      <c r="AB2" s="425">
        <v>2</v>
      </c>
      <c r="AC2" s="281" t="s">
        <v>670</v>
      </c>
      <c r="AD2" s="284">
        <v>102</v>
      </c>
      <c r="AE2" s="424" t="s">
        <v>376</v>
      </c>
      <c r="AF2" s="48" t="s">
        <v>37</v>
      </c>
      <c r="AG2" s="56" t="s">
        <v>998</v>
      </c>
      <c r="AH2" s="32" t="s">
        <v>1344</v>
      </c>
    </row>
    <row r="3" spans="1:35" x14ac:dyDescent="0.3">
      <c r="A3" s="990" t="s">
        <v>262</v>
      </c>
      <c r="B3" s="990" t="s">
        <v>262</v>
      </c>
      <c r="C3" s="987">
        <v>2</v>
      </c>
      <c r="D3" s="800">
        <f>AD3</f>
        <v>48</v>
      </c>
      <c r="E3" s="800" t="s">
        <v>906</v>
      </c>
      <c r="F3" s="801" t="s">
        <v>315</v>
      </c>
      <c r="G3" s="801" t="s">
        <v>962</v>
      </c>
      <c r="H3" s="802" t="s">
        <v>728</v>
      </c>
      <c r="I3" s="802" t="s">
        <v>732</v>
      </c>
      <c r="J3" s="803">
        <v>8245.2201573291004</v>
      </c>
      <c r="K3" s="804">
        <f t="shared" si="0"/>
        <v>1.5615947267668751</v>
      </c>
      <c r="L3" s="804" t="s">
        <v>842</v>
      </c>
      <c r="M3" s="805">
        <v>12</v>
      </c>
      <c r="N3" s="953">
        <v>12000000</v>
      </c>
      <c r="O3" s="954">
        <v>1.1399999999999999</v>
      </c>
      <c r="P3" s="806">
        <v>13679999.999999998</v>
      </c>
      <c r="Q3" s="807" t="s">
        <v>31</v>
      </c>
      <c r="R3" s="807" t="s">
        <v>273</v>
      </c>
      <c r="S3" s="807" t="s">
        <v>31</v>
      </c>
      <c r="T3" s="807" t="str">
        <f>VLOOKUP($E3,Tiers!A:K,10,FALSE)</f>
        <v>Tier 1</v>
      </c>
      <c r="U3" s="807" t="s">
        <v>858</v>
      </c>
      <c r="V3" s="808" t="s">
        <v>1487</v>
      </c>
      <c r="W3" s="809" t="s">
        <v>824</v>
      </c>
      <c r="X3" s="809" t="s">
        <v>824</v>
      </c>
      <c r="Y3" s="809"/>
      <c r="Z3" s="809" t="s">
        <v>824</v>
      </c>
      <c r="AA3" s="810">
        <v>2</v>
      </c>
      <c r="AB3" s="810">
        <v>4</v>
      </c>
      <c r="AC3" s="811" t="s">
        <v>779</v>
      </c>
      <c r="AD3" s="812">
        <v>48</v>
      </c>
      <c r="AE3" s="807" t="s">
        <v>314</v>
      </c>
      <c r="AF3" s="809" t="s">
        <v>37</v>
      </c>
      <c r="AG3" s="813" t="s">
        <v>998</v>
      </c>
      <c r="AH3" s="801" t="s">
        <v>963</v>
      </c>
    </row>
    <row r="4" spans="1:35" x14ac:dyDescent="0.3">
      <c r="A4" s="990" t="s">
        <v>262</v>
      </c>
      <c r="B4" s="990" t="s">
        <v>262</v>
      </c>
      <c r="C4" s="988">
        <v>3</v>
      </c>
      <c r="D4" s="819">
        <f>AD4</f>
        <v>49</v>
      </c>
      <c r="E4" s="820" t="s">
        <v>1341</v>
      </c>
      <c r="F4" s="821" t="s">
        <v>1673</v>
      </c>
      <c r="G4" s="822" t="s">
        <v>376</v>
      </c>
      <c r="H4" s="823" t="s">
        <v>856</v>
      </c>
      <c r="I4" s="823" t="s">
        <v>1633</v>
      </c>
      <c r="J4" s="824">
        <v>7012.8479850000003</v>
      </c>
      <c r="K4" s="825">
        <f t="shared" si="0"/>
        <v>1.3281909062500001</v>
      </c>
      <c r="L4" s="825" t="s">
        <v>842</v>
      </c>
      <c r="M4" s="826">
        <v>9</v>
      </c>
      <c r="N4" s="955">
        <f>36000000*($K4/SUM($K$4:$K$6))</f>
        <v>15185608.887350088</v>
      </c>
      <c r="O4" s="956">
        <v>1.1399999999999999</v>
      </c>
      <c r="P4" s="827">
        <v>17311594.131579097</v>
      </c>
      <c r="Q4" s="828" t="s">
        <v>31</v>
      </c>
      <c r="R4" s="828" t="s">
        <v>273</v>
      </c>
      <c r="S4" s="828" t="s">
        <v>31</v>
      </c>
      <c r="T4" s="828" t="str">
        <f>VLOOKUP($E4,Tiers!A:K,10,FALSE)</f>
        <v>Tier 1</v>
      </c>
      <c r="U4" s="828" t="s">
        <v>858</v>
      </c>
      <c r="V4" s="829" t="s">
        <v>672</v>
      </c>
      <c r="W4" s="830"/>
      <c r="X4" s="830" t="s">
        <v>824</v>
      </c>
      <c r="Y4" s="830" t="s">
        <v>824</v>
      </c>
      <c r="Z4" s="830" t="s">
        <v>824</v>
      </c>
      <c r="AA4" s="831">
        <v>2</v>
      </c>
      <c r="AB4" s="831">
        <v>2</v>
      </c>
      <c r="AC4" s="832" t="s">
        <v>670</v>
      </c>
      <c r="AD4" s="833">
        <v>49</v>
      </c>
      <c r="AE4" s="828" t="s">
        <v>312</v>
      </c>
      <c r="AF4" s="830" t="s">
        <v>37</v>
      </c>
      <c r="AG4" s="834" t="s">
        <v>998</v>
      </c>
      <c r="AH4" s="835" t="s">
        <v>1344</v>
      </c>
    </row>
    <row r="5" spans="1:35" x14ac:dyDescent="0.3">
      <c r="C5" s="987">
        <v>4</v>
      </c>
      <c r="D5" s="836">
        <f>AD5</f>
        <v>49</v>
      </c>
      <c r="E5" s="358" t="s">
        <v>985</v>
      </c>
      <c r="F5" s="32" t="s">
        <v>1675</v>
      </c>
      <c r="G5" s="403" t="s">
        <v>376</v>
      </c>
      <c r="H5" s="142" t="s">
        <v>1633</v>
      </c>
      <c r="I5" s="142" t="s">
        <v>1480</v>
      </c>
      <c r="J5" s="279">
        <v>2555.019722</v>
      </c>
      <c r="K5" s="43">
        <f t="shared" si="0"/>
        <v>0.4839052503787879</v>
      </c>
      <c r="L5" s="43" t="s">
        <v>843</v>
      </c>
      <c r="M5" s="427">
        <v>9</v>
      </c>
      <c r="N5" s="957">
        <f t="shared" ref="N5:N6" si="1">36000000*($K5/SUM($K$4:$K$6))</f>
        <v>5532635.2832326442</v>
      </c>
      <c r="O5" s="958">
        <v>1.1399999999999999</v>
      </c>
      <c r="P5" s="148">
        <v>6307204.2228852138</v>
      </c>
      <c r="Q5" s="33" t="s">
        <v>31</v>
      </c>
      <c r="R5" s="33" t="s">
        <v>1020</v>
      </c>
      <c r="S5" s="33" t="s">
        <v>31</v>
      </c>
      <c r="T5" s="33" t="str">
        <f>VLOOKUP($E5,Tiers!A:K,10,FALSE)</f>
        <v>Tier 1</v>
      </c>
      <c r="U5" s="33" t="s">
        <v>777</v>
      </c>
      <c r="V5" s="31" t="s">
        <v>672</v>
      </c>
      <c r="W5" s="48" t="s">
        <v>824</v>
      </c>
      <c r="X5" s="48" t="s">
        <v>824</v>
      </c>
      <c r="Y5" s="48" t="s">
        <v>824</v>
      </c>
      <c r="Z5" s="48"/>
      <c r="AA5" s="408">
        <v>2</v>
      </c>
      <c r="AB5" s="408">
        <v>3</v>
      </c>
      <c r="AC5" s="281" t="s">
        <v>779</v>
      </c>
      <c r="AD5" s="284">
        <v>49</v>
      </c>
      <c r="AE5" s="33"/>
      <c r="AF5" s="48" t="s">
        <v>37</v>
      </c>
      <c r="AG5" s="56" t="s">
        <v>998</v>
      </c>
      <c r="AH5" s="837" t="s">
        <v>1433</v>
      </c>
    </row>
    <row r="6" spans="1:35" x14ac:dyDescent="0.3">
      <c r="C6" s="988">
        <v>5</v>
      </c>
      <c r="D6" s="838">
        <v>49</v>
      </c>
      <c r="E6" s="839" t="s">
        <v>1342</v>
      </c>
      <c r="F6" s="840" t="s">
        <v>1676</v>
      </c>
      <c r="G6" s="841" t="s">
        <v>376</v>
      </c>
      <c r="H6" s="840" t="s">
        <v>1480</v>
      </c>
      <c r="I6" s="840" t="s">
        <v>1343</v>
      </c>
      <c r="J6" s="842">
        <v>7057.2494900000002</v>
      </c>
      <c r="K6" s="843">
        <f t="shared" si="0"/>
        <v>1.3366002821969698</v>
      </c>
      <c r="L6" s="843" t="s">
        <v>842</v>
      </c>
      <c r="M6" s="844">
        <v>9</v>
      </c>
      <c r="N6" s="959">
        <f t="shared" si="1"/>
        <v>15281755.829417264</v>
      </c>
      <c r="O6" s="960">
        <v>1.1399999999999999</v>
      </c>
      <c r="P6" s="845">
        <v>17421201.645535681</v>
      </c>
      <c r="Q6" s="846" t="s">
        <v>31</v>
      </c>
      <c r="R6" s="846" t="s">
        <v>273</v>
      </c>
      <c r="S6" s="846" t="s">
        <v>31</v>
      </c>
      <c r="T6" s="846" t="str">
        <f>VLOOKUP($E6,Tiers!A:K,10,FALSE)</f>
        <v>Tier 1</v>
      </c>
      <c r="U6" s="846" t="s">
        <v>858</v>
      </c>
      <c r="V6" s="847" t="s">
        <v>672</v>
      </c>
      <c r="W6" s="848"/>
      <c r="X6" s="848" t="s">
        <v>824</v>
      </c>
      <c r="Y6" s="848" t="s">
        <v>824</v>
      </c>
      <c r="Z6" s="848" t="s">
        <v>824</v>
      </c>
      <c r="AA6" s="849">
        <v>2</v>
      </c>
      <c r="AB6" s="849">
        <v>2</v>
      </c>
      <c r="AC6" s="850" t="s">
        <v>670</v>
      </c>
      <c r="AD6" s="851">
        <v>49</v>
      </c>
      <c r="AE6" s="846"/>
      <c r="AF6" s="848"/>
      <c r="AG6" s="852"/>
      <c r="AH6" s="853" t="s">
        <v>1344</v>
      </c>
    </row>
    <row r="7" spans="1:35" x14ac:dyDescent="0.3">
      <c r="A7" s="990" t="s">
        <v>262</v>
      </c>
      <c r="B7" s="990" t="s">
        <v>262</v>
      </c>
      <c r="C7" s="987">
        <v>6</v>
      </c>
      <c r="D7" s="524">
        <f>AD7</f>
        <v>50</v>
      </c>
      <c r="E7" s="524" t="s">
        <v>908</v>
      </c>
      <c r="F7" s="35" t="s">
        <v>1358</v>
      </c>
      <c r="G7" s="814" t="s">
        <v>376</v>
      </c>
      <c r="H7" s="120" t="s">
        <v>736</v>
      </c>
      <c r="I7" s="120" t="s">
        <v>785</v>
      </c>
      <c r="J7" s="815">
        <v>9452.5703950004408</v>
      </c>
      <c r="K7" s="44">
        <f t="shared" si="0"/>
        <v>1.7902595445076592</v>
      </c>
      <c r="L7" s="44" t="s">
        <v>842</v>
      </c>
      <c r="M7" s="816">
        <v>17</v>
      </c>
      <c r="N7" s="961">
        <v>11000000</v>
      </c>
      <c r="O7" s="962">
        <v>1.1399999999999999</v>
      </c>
      <c r="P7" s="150">
        <v>12539999.999999998</v>
      </c>
      <c r="Q7" s="119" t="s">
        <v>31</v>
      </c>
      <c r="R7" s="119" t="s">
        <v>273</v>
      </c>
      <c r="S7" s="33" t="s">
        <v>31</v>
      </c>
      <c r="T7" s="33" t="str">
        <f>VLOOKUP($E7,Tiers!A:K,10,FALSE)</f>
        <v>Tier 1</v>
      </c>
      <c r="U7" s="119" t="s">
        <v>861</v>
      </c>
      <c r="V7" s="54" t="s">
        <v>1481</v>
      </c>
      <c r="W7" s="526" t="s">
        <v>824</v>
      </c>
      <c r="X7" s="526"/>
      <c r="Y7" s="526" t="s">
        <v>824</v>
      </c>
      <c r="Z7" s="526" t="s">
        <v>824</v>
      </c>
      <c r="AA7" s="817" t="s">
        <v>964</v>
      </c>
      <c r="AB7" s="817" t="s">
        <v>964</v>
      </c>
      <c r="AC7" s="528" t="s">
        <v>670</v>
      </c>
      <c r="AD7" s="529">
        <v>50</v>
      </c>
      <c r="AE7" s="119" t="s">
        <v>310</v>
      </c>
      <c r="AF7" s="526" t="s">
        <v>37</v>
      </c>
      <c r="AG7" s="530" t="s">
        <v>364</v>
      </c>
      <c r="AH7" s="818" t="s">
        <v>988</v>
      </c>
    </row>
    <row r="8" spans="1:35" s="421" customFormat="1" x14ac:dyDescent="0.3">
      <c r="A8" s="991" t="s">
        <v>262</v>
      </c>
      <c r="B8" s="991" t="s">
        <v>262</v>
      </c>
      <c r="C8" s="988">
        <v>7</v>
      </c>
      <c r="D8" s="412">
        <f>AD8</f>
        <v>51</v>
      </c>
      <c r="E8" s="412" t="s">
        <v>1346</v>
      </c>
      <c r="F8" s="131" t="s">
        <v>1668</v>
      </c>
      <c r="G8" s="411" t="s">
        <v>376</v>
      </c>
      <c r="H8" s="413" t="s">
        <v>621</v>
      </c>
      <c r="I8" s="413" t="s">
        <v>1348</v>
      </c>
      <c r="J8" s="414">
        <v>3949.3595620000001</v>
      </c>
      <c r="K8" s="415">
        <f t="shared" si="0"/>
        <v>0.74798476553030302</v>
      </c>
      <c r="L8" s="415" t="s">
        <v>842</v>
      </c>
      <c r="M8" s="428">
        <v>18</v>
      </c>
      <c r="N8" s="963">
        <f>15000000*($K8/SUM($K$8:$K$9))</f>
        <v>4682207.679157638</v>
      </c>
      <c r="O8" s="958">
        <v>1.1399999999999999</v>
      </c>
      <c r="P8" s="148">
        <v>5337716.7542397073</v>
      </c>
      <c r="Q8" s="136" t="s">
        <v>31</v>
      </c>
      <c r="R8" s="136" t="s">
        <v>273</v>
      </c>
      <c r="S8" s="33" t="s">
        <v>31</v>
      </c>
      <c r="T8" s="33" t="str">
        <f>VLOOKUP($E8,Tiers!A:K,10,FALSE)</f>
        <v>Programmed</v>
      </c>
      <c r="U8" s="136" t="s">
        <v>671</v>
      </c>
      <c r="V8" s="416" t="s">
        <v>1481</v>
      </c>
      <c r="W8" s="419" t="s">
        <v>824</v>
      </c>
      <c r="X8" s="419" t="s">
        <v>824</v>
      </c>
      <c r="Y8" s="419" t="s">
        <v>824</v>
      </c>
      <c r="Z8" s="419" t="s">
        <v>824</v>
      </c>
      <c r="AA8" s="429">
        <v>2</v>
      </c>
      <c r="AB8" s="429">
        <v>2</v>
      </c>
      <c r="AC8" s="417" t="s">
        <v>670</v>
      </c>
      <c r="AD8" s="418">
        <v>51</v>
      </c>
      <c r="AE8" s="136" t="s">
        <v>308</v>
      </c>
      <c r="AF8" s="419" t="s">
        <v>37</v>
      </c>
      <c r="AG8" s="420" t="s">
        <v>364</v>
      </c>
      <c r="AH8" s="413" t="s">
        <v>1102</v>
      </c>
      <c r="AI8" s="30"/>
    </row>
    <row r="9" spans="1:35" s="421" customFormat="1" x14ac:dyDescent="0.3">
      <c r="A9" s="991"/>
      <c r="B9" s="991"/>
      <c r="C9" s="987">
        <v>8</v>
      </c>
      <c r="D9" s="412">
        <v>51</v>
      </c>
      <c r="E9" s="412" t="s">
        <v>1347</v>
      </c>
      <c r="F9" s="131" t="s">
        <v>1667</v>
      </c>
      <c r="G9" s="411" t="s">
        <v>376</v>
      </c>
      <c r="H9" s="413" t="s">
        <v>1063</v>
      </c>
      <c r="I9" s="413" t="s">
        <v>795</v>
      </c>
      <c r="J9" s="414">
        <v>8702.8757700000006</v>
      </c>
      <c r="K9" s="415">
        <f t="shared" si="0"/>
        <v>1.6482719261363636</v>
      </c>
      <c r="L9" s="43" t="s">
        <v>842</v>
      </c>
      <c r="M9" s="428">
        <v>18</v>
      </c>
      <c r="N9" s="963">
        <f>15000000*($K9/SUM($K$8:$K$9))</f>
        <v>10317792.320842359</v>
      </c>
      <c r="O9" s="958">
        <v>1.1399999999999999</v>
      </c>
      <c r="P9" s="148">
        <v>11762283.245760288</v>
      </c>
      <c r="Q9" s="136" t="s">
        <v>31</v>
      </c>
      <c r="R9" s="136" t="s">
        <v>273</v>
      </c>
      <c r="S9" s="33" t="s">
        <v>31</v>
      </c>
      <c r="T9" s="33" t="str">
        <f>VLOOKUP($E9,Tiers!A:K,10,FALSE)</f>
        <v>Programmed</v>
      </c>
      <c r="U9" s="136" t="s">
        <v>671</v>
      </c>
      <c r="V9" s="416" t="s">
        <v>1481</v>
      </c>
      <c r="W9" s="419" t="s">
        <v>824</v>
      </c>
      <c r="X9" s="419" t="s">
        <v>824</v>
      </c>
      <c r="Y9" s="419" t="s">
        <v>824</v>
      </c>
      <c r="Z9" s="419" t="s">
        <v>824</v>
      </c>
      <c r="AA9" s="429">
        <v>2</v>
      </c>
      <c r="AB9" s="429">
        <v>2</v>
      </c>
      <c r="AC9" s="417" t="s">
        <v>670</v>
      </c>
      <c r="AD9" s="418">
        <v>51</v>
      </c>
      <c r="AE9" s="136"/>
      <c r="AF9" s="419"/>
      <c r="AG9" s="420"/>
      <c r="AH9" s="413" t="s">
        <v>1102</v>
      </c>
      <c r="AI9" s="30"/>
    </row>
    <row r="10" spans="1:35" x14ac:dyDescent="0.3">
      <c r="A10" s="990" t="s">
        <v>262</v>
      </c>
      <c r="B10" s="990" t="s">
        <v>262</v>
      </c>
      <c r="C10" s="988">
        <v>9</v>
      </c>
      <c r="D10" s="358">
        <f t="shared" ref="D10:D24" si="2">AD10</f>
        <v>52</v>
      </c>
      <c r="E10" s="358" t="s">
        <v>910</v>
      </c>
      <c r="F10" s="32" t="s">
        <v>1356</v>
      </c>
      <c r="G10" s="32" t="s">
        <v>783</v>
      </c>
      <c r="H10" s="142" t="s">
        <v>864</v>
      </c>
      <c r="I10" s="142" t="s">
        <v>865</v>
      </c>
      <c r="J10" s="279">
        <v>7645.7273558655997</v>
      </c>
      <c r="K10" s="43">
        <f t="shared" si="0"/>
        <v>1.4480544234593939</v>
      </c>
      <c r="L10" s="43" t="s">
        <v>842</v>
      </c>
      <c r="M10" s="405">
        <v>21</v>
      </c>
      <c r="N10" s="957">
        <v>9000000</v>
      </c>
      <c r="O10" s="958">
        <v>1.1399999999999999</v>
      </c>
      <c r="P10" s="148">
        <v>10260000</v>
      </c>
      <c r="Q10" s="33" t="s">
        <v>31</v>
      </c>
      <c r="R10" s="33" t="s">
        <v>273</v>
      </c>
      <c r="S10" s="33" t="s">
        <v>31</v>
      </c>
      <c r="T10" s="33" t="str">
        <f>VLOOKUP($E10,Tiers!A:K,10,FALSE)</f>
        <v>Tier 1</v>
      </c>
      <c r="U10" s="33" t="s">
        <v>858</v>
      </c>
      <c r="V10" s="31" t="s">
        <v>1481</v>
      </c>
      <c r="W10" s="48" t="s">
        <v>824</v>
      </c>
      <c r="X10" s="48" t="s">
        <v>824</v>
      </c>
      <c r="Y10" s="48" t="s">
        <v>824</v>
      </c>
      <c r="Z10" s="48" t="s">
        <v>824</v>
      </c>
      <c r="AA10" s="408">
        <v>3</v>
      </c>
      <c r="AB10" s="408">
        <v>3</v>
      </c>
      <c r="AC10" s="281" t="s">
        <v>670</v>
      </c>
      <c r="AD10" s="284">
        <v>52</v>
      </c>
      <c r="AE10" s="33" t="s">
        <v>307</v>
      </c>
      <c r="AF10" s="48" t="s">
        <v>37</v>
      </c>
      <c r="AG10" s="56" t="s">
        <v>364</v>
      </c>
      <c r="AH10" s="32"/>
    </row>
    <row r="11" spans="1:35" x14ac:dyDescent="0.3">
      <c r="C11" s="987">
        <v>10</v>
      </c>
      <c r="D11" s="358">
        <f t="shared" si="2"/>
        <v>52</v>
      </c>
      <c r="E11" s="358" t="s">
        <v>984</v>
      </c>
      <c r="F11" s="142" t="s">
        <v>1624</v>
      </c>
      <c r="G11" s="142" t="s">
        <v>783</v>
      </c>
      <c r="H11" s="142" t="s">
        <v>733</v>
      </c>
      <c r="I11" s="142" t="s">
        <v>781</v>
      </c>
      <c r="J11" s="279">
        <v>4287.5270879999998</v>
      </c>
      <c r="K11" s="43">
        <f t="shared" si="0"/>
        <v>0.81203164545454543</v>
      </c>
      <c r="L11" s="43" t="s">
        <v>843</v>
      </c>
      <c r="M11" s="427" t="s">
        <v>376</v>
      </c>
      <c r="N11" s="952" t="s">
        <v>376</v>
      </c>
      <c r="O11" s="952"/>
      <c r="P11" s="741">
        <v>16895508.428383205</v>
      </c>
      <c r="Q11" s="33" t="s">
        <v>31</v>
      </c>
      <c r="R11" s="33" t="s">
        <v>1020</v>
      </c>
      <c r="S11" s="33" t="s">
        <v>31</v>
      </c>
      <c r="T11" s="33" t="str">
        <f>VLOOKUP($E11,Tiers!A:K,10,FALSE)</f>
        <v>--</v>
      </c>
      <c r="U11" s="33" t="s">
        <v>777</v>
      </c>
      <c r="V11" s="31" t="s">
        <v>672</v>
      </c>
      <c r="W11" s="48" t="s">
        <v>824</v>
      </c>
      <c r="X11" s="48"/>
      <c r="Y11" s="48"/>
      <c r="Z11" s="48"/>
      <c r="AA11" s="408">
        <v>3</v>
      </c>
      <c r="AB11" s="408">
        <v>5</v>
      </c>
      <c r="AC11" s="281" t="s">
        <v>779</v>
      </c>
      <c r="AD11" s="284">
        <v>52</v>
      </c>
      <c r="AE11" s="33"/>
      <c r="AF11" s="48" t="s">
        <v>37</v>
      </c>
      <c r="AG11" s="56" t="s">
        <v>998</v>
      </c>
      <c r="AH11" s="32" t="s">
        <v>1068</v>
      </c>
    </row>
    <row r="12" spans="1:35" x14ac:dyDescent="0.3">
      <c r="A12" s="990" t="s">
        <v>262</v>
      </c>
      <c r="B12" s="990" t="s">
        <v>262</v>
      </c>
      <c r="C12" s="988">
        <v>11</v>
      </c>
      <c r="D12" s="358">
        <f t="shared" si="2"/>
        <v>55</v>
      </c>
      <c r="E12" s="358" t="s">
        <v>911</v>
      </c>
      <c r="F12" s="32" t="s">
        <v>303</v>
      </c>
      <c r="G12" s="32" t="s">
        <v>784</v>
      </c>
      <c r="H12" s="142" t="s">
        <v>747</v>
      </c>
      <c r="I12" s="413" t="s">
        <v>851</v>
      </c>
      <c r="J12" s="279">
        <v>50240.825464000001</v>
      </c>
      <c r="K12" s="43">
        <f t="shared" si="0"/>
        <v>9.5153078530303041</v>
      </c>
      <c r="L12" s="43" t="s">
        <v>842</v>
      </c>
      <c r="M12" s="405">
        <v>3</v>
      </c>
      <c r="N12" s="964">
        <v>22000000</v>
      </c>
      <c r="O12" s="958">
        <v>1.1399999999999999</v>
      </c>
      <c r="P12" s="148">
        <v>25079999.999999996</v>
      </c>
      <c r="Q12" s="33" t="s">
        <v>31</v>
      </c>
      <c r="R12" s="33" t="s">
        <v>273</v>
      </c>
      <c r="S12" s="33" t="s">
        <v>31</v>
      </c>
      <c r="T12" s="33" t="str">
        <f>VLOOKUP($E12,Tiers!A:K,10,FALSE)</f>
        <v>Tier 4</v>
      </c>
      <c r="U12" s="33" t="s">
        <v>852</v>
      </c>
      <c r="V12" s="31" t="s">
        <v>1481</v>
      </c>
      <c r="W12" s="48" t="s">
        <v>824</v>
      </c>
      <c r="X12" s="48"/>
      <c r="Y12" s="48" t="s">
        <v>824</v>
      </c>
      <c r="Z12" s="48"/>
      <c r="AA12" s="408">
        <v>2</v>
      </c>
      <c r="AB12" s="408">
        <v>2</v>
      </c>
      <c r="AC12" s="281" t="s">
        <v>670</v>
      </c>
      <c r="AD12" s="284">
        <v>55</v>
      </c>
      <c r="AE12" s="33" t="s">
        <v>302</v>
      </c>
      <c r="AF12" s="48" t="s">
        <v>37</v>
      </c>
      <c r="AG12" s="56" t="s">
        <v>364</v>
      </c>
      <c r="AH12" s="32"/>
    </row>
    <row r="13" spans="1:35" x14ac:dyDescent="0.3">
      <c r="A13" s="990" t="s">
        <v>262</v>
      </c>
      <c r="B13" s="990" t="s">
        <v>262</v>
      </c>
      <c r="C13" s="987">
        <v>12</v>
      </c>
      <c r="D13" s="358">
        <f t="shared" si="2"/>
        <v>57</v>
      </c>
      <c r="E13" s="358" t="s">
        <v>913</v>
      </c>
      <c r="F13" s="32" t="s">
        <v>593</v>
      </c>
      <c r="G13" s="32" t="s">
        <v>411</v>
      </c>
      <c r="H13" s="142" t="s">
        <v>955</v>
      </c>
      <c r="I13" s="142" t="s">
        <v>956</v>
      </c>
      <c r="J13" s="279">
        <v>12079.7403042237</v>
      </c>
      <c r="K13" s="43">
        <f t="shared" si="0"/>
        <v>2.2878296030726704</v>
      </c>
      <c r="L13" s="43" t="s">
        <v>842</v>
      </c>
      <c r="M13" s="405">
        <v>49</v>
      </c>
      <c r="N13" s="957">
        <v>15000000</v>
      </c>
      <c r="O13" s="958">
        <v>1.1399999999999999</v>
      </c>
      <c r="P13" s="148">
        <v>17100000</v>
      </c>
      <c r="Q13" s="33" t="s">
        <v>31</v>
      </c>
      <c r="R13" s="33" t="s">
        <v>273</v>
      </c>
      <c r="S13" s="33" t="s">
        <v>31</v>
      </c>
      <c r="T13" s="33" t="str">
        <f>VLOOKUP($E13,Tiers!A:K,10,FALSE)</f>
        <v>Tier 3</v>
      </c>
      <c r="U13" s="33" t="s">
        <v>853</v>
      </c>
      <c r="V13" s="31" t="s">
        <v>1487</v>
      </c>
      <c r="W13" s="48" t="s">
        <v>824</v>
      </c>
      <c r="X13" s="48"/>
      <c r="Y13" s="48"/>
      <c r="Z13" s="48"/>
      <c r="AA13" s="408">
        <v>4</v>
      </c>
      <c r="AB13" s="408">
        <v>6</v>
      </c>
      <c r="AC13" s="281" t="s">
        <v>779</v>
      </c>
      <c r="AD13" s="284">
        <v>57</v>
      </c>
      <c r="AE13" s="33" t="s">
        <v>299</v>
      </c>
      <c r="AF13" s="48" t="s">
        <v>37</v>
      </c>
      <c r="AG13" s="56" t="s">
        <v>998</v>
      </c>
      <c r="AH13" s="32"/>
    </row>
    <row r="14" spans="1:35" x14ac:dyDescent="0.3">
      <c r="A14" s="990" t="s">
        <v>262</v>
      </c>
      <c r="B14" s="990" t="s">
        <v>262</v>
      </c>
      <c r="C14" s="988">
        <v>13</v>
      </c>
      <c r="D14" s="358">
        <f t="shared" si="2"/>
        <v>58</v>
      </c>
      <c r="E14" s="358" t="s">
        <v>914</v>
      </c>
      <c r="F14" s="32" t="s">
        <v>594</v>
      </c>
      <c r="G14" s="32" t="s">
        <v>411</v>
      </c>
      <c r="H14" s="142" t="s">
        <v>1625</v>
      </c>
      <c r="I14" s="403" t="s">
        <v>955</v>
      </c>
      <c r="J14" s="279">
        <v>5550.8143241513999</v>
      </c>
      <c r="K14" s="43">
        <f t="shared" si="0"/>
        <v>1.0512905916953408</v>
      </c>
      <c r="L14" s="43" t="s">
        <v>842</v>
      </c>
      <c r="M14" s="405">
        <v>48</v>
      </c>
      <c r="N14" s="957">
        <v>4000000</v>
      </c>
      <c r="O14" s="958">
        <v>1.1399999999999999</v>
      </c>
      <c r="P14" s="148">
        <v>4560000</v>
      </c>
      <c r="Q14" s="33" t="s">
        <v>31</v>
      </c>
      <c r="R14" s="33" t="s">
        <v>273</v>
      </c>
      <c r="S14" s="33" t="s">
        <v>31</v>
      </c>
      <c r="T14" s="33" t="str">
        <f>VLOOKUP($E14,Tiers!A:K,10,FALSE)</f>
        <v>Tier 3</v>
      </c>
      <c r="U14" s="33" t="s">
        <v>853</v>
      </c>
      <c r="V14" s="31" t="s">
        <v>1487</v>
      </c>
      <c r="W14" s="48" t="s">
        <v>824</v>
      </c>
      <c r="X14" s="48"/>
      <c r="Y14" s="48"/>
      <c r="Z14" s="48"/>
      <c r="AA14" s="408">
        <v>4</v>
      </c>
      <c r="AB14" s="408">
        <v>6</v>
      </c>
      <c r="AC14" s="281" t="s">
        <v>779</v>
      </c>
      <c r="AD14" s="284">
        <v>58</v>
      </c>
      <c r="AE14" s="33" t="s">
        <v>298</v>
      </c>
      <c r="AF14" s="48" t="s">
        <v>37</v>
      </c>
      <c r="AG14" s="56" t="s">
        <v>998</v>
      </c>
      <c r="AH14" s="32"/>
    </row>
    <row r="15" spans="1:35" x14ac:dyDescent="0.3">
      <c r="A15" s="990" t="s">
        <v>262</v>
      </c>
      <c r="B15" s="990" t="s">
        <v>262</v>
      </c>
      <c r="C15" s="987">
        <v>14</v>
      </c>
      <c r="D15" s="358">
        <f t="shared" si="2"/>
        <v>59</v>
      </c>
      <c r="E15" s="358" t="s">
        <v>915</v>
      </c>
      <c r="F15" s="32" t="s">
        <v>297</v>
      </c>
      <c r="G15" s="411" t="s">
        <v>376</v>
      </c>
      <c r="H15" s="142" t="s">
        <v>862</v>
      </c>
      <c r="I15" s="142" t="s">
        <v>781</v>
      </c>
      <c r="J15" s="279">
        <v>9743.5805896005604</v>
      </c>
      <c r="K15" s="43">
        <f t="shared" si="0"/>
        <v>1.8453751116667727</v>
      </c>
      <c r="L15" s="43" t="s">
        <v>842</v>
      </c>
      <c r="M15" s="405">
        <v>19</v>
      </c>
      <c r="N15" s="957">
        <v>4000000</v>
      </c>
      <c r="O15" s="958">
        <v>1.1399999999999999</v>
      </c>
      <c r="P15" s="148">
        <v>4560000</v>
      </c>
      <c r="Q15" s="33" t="s">
        <v>57</v>
      </c>
      <c r="R15" s="33" t="s">
        <v>273</v>
      </c>
      <c r="S15" s="33" t="s">
        <v>31</v>
      </c>
      <c r="T15" s="33" t="str">
        <f>VLOOKUP($E15,Tiers!A:K,10,FALSE)</f>
        <v>Tier 3</v>
      </c>
      <c r="U15" s="33" t="s">
        <v>863</v>
      </c>
      <c r="V15" s="31" t="s">
        <v>1643</v>
      </c>
      <c r="W15" s="48"/>
      <c r="X15" s="48" t="s">
        <v>824</v>
      </c>
      <c r="Y15" s="48"/>
      <c r="Z15" s="48"/>
      <c r="AA15" s="425" t="s">
        <v>262</v>
      </c>
      <c r="AB15" s="408" t="s">
        <v>262</v>
      </c>
      <c r="AC15" s="281" t="s">
        <v>670</v>
      </c>
      <c r="AD15" s="284">
        <v>59</v>
      </c>
      <c r="AE15" s="33" t="s">
        <v>296</v>
      </c>
      <c r="AF15" s="48" t="s">
        <v>37</v>
      </c>
      <c r="AG15" s="56" t="s">
        <v>364</v>
      </c>
      <c r="AH15" s="32"/>
    </row>
    <row r="16" spans="1:35" x14ac:dyDescent="0.3">
      <c r="A16" s="990" t="s">
        <v>262</v>
      </c>
      <c r="B16" s="990" t="s">
        <v>262</v>
      </c>
      <c r="C16" s="988">
        <v>15</v>
      </c>
      <c r="D16" s="358">
        <f t="shared" si="2"/>
        <v>60</v>
      </c>
      <c r="E16" s="358" t="s">
        <v>916</v>
      </c>
      <c r="F16" s="32" t="s">
        <v>295</v>
      </c>
      <c r="G16" s="32" t="s">
        <v>659</v>
      </c>
      <c r="H16" s="142" t="s">
        <v>781</v>
      </c>
      <c r="I16" s="142" t="s">
        <v>1634</v>
      </c>
      <c r="J16" s="279">
        <v>8401.4732170105999</v>
      </c>
      <c r="K16" s="43">
        <f t="shared" si="0"/>
        <v>1.5911881092823106</v>
      </c>
      <c r="L16" s="43" t="s">
        <v>842</v>
      </c>
      <c r="M16" s="405">
        <v>29</v>
      </c>
      <c r="N16" s="957">
        <v>5000000</v>
      </c>
      <c r="O16" s="958">
        <v>1.1399999999999999</v>
      </c>
      <c r="P16" s="148">
        <v>5699999.9999999991</v>
      </c>
      <c r="Q16" s="33" t="s">
        <v>31</v>
      </c>
      <c r="R16" s="33" t="s">
        <v>273</v>
      </c>
      <c r="S16" s="33" t="s">
        <v>31</v>
      </c>
      <c r="T16" s="33" t="str">
        <f>VLOOKUP($E16,Tiers!A:K,10,FALSE)</f>
        <v>Tier 4</v>
      </c>
      <c r="U16" s="33" t="s">
        <v>671</v>
      </c>
      <c r="V16" s="31" t="s">
        <v>1487</v>
      </c>
      <c r="W16" s="48" t="s">
        <v>824</v>
      </c>
      <c r="X16" s="48"/>
      <c r="Y16" s="48" t="s">
        <v>824</v>
      </c>
      <c r="Z16" s="48"/>
      <c r="AA16" s="408">
        <v>3</v>
      </c>
      <c r="AB16" s="408">
        <v>4</v>
      </c>
      <c r="AC16" s="281" t="s">
        <v>779</v>
      </c>
      <c r="AD16" s="284">
        <v>60</v>
      </c>
      <c r="AE16" s="33" t="s">
        <v>294</v>
      </c>
      <c r="AF16" s="48" t="s">
        <v>37</v>
      </c>
      <c r="AG16" s="56" t="s">
        <v>998</v>
      </c>
      <c r="AH16" s="32"/>
    </row>
    <row r="17" spans="1:34" x14ac:dyDescent="0.3">
      <c r="A17" s="990" t="s">
        <v>262</v>
      </c>
      <c r="B17" s="990" t="s">
        <v>262</v>
      </c>
      <c r="C17" s="987">
        <v>16</v>
      </c>
      <c r="D17" s="358">
        <f t="shared" si="2"/>
        <v>61</v>
      </c>
      <c r="E17" s="358" t="s">
        <v>917</v>
      </c>
      <c r="F17" s="32" t="s">
        <v>293</v>
      </c>
      <c r="G17" s="32" t="s">
        <v>883</v>
      </c>
      <c r="H17" s="142" t="s">
        <v>621</v>
      </c>
      <c r="I17" s="142" t="s">
        <v>1635</v>
      </c>
      <c r="J17" s="279">
        <v>29500.696155003599</v>
      </c>
      <c r="K17" s="43">
        <f t="shared" si="0"/>
        <v>5.5872530596597727</v>
      </c>
      <c r="L17" s="43" t="s">
        <v>842</v>
      </c>
      <c r="M17" s="405">
        <v>47</v>
      </c>
      <c r="N17" s="957">
        <v>12000000</v>
      </c>
      <c r="O17" s="958">
        <v>1.1399999999999999</v>
      </c>
      <c r="P17" s="148">
        <v>13679999.999999998</v>
      </c>
      <c r="Q17" s="33" t="s">
        <v>31</v>
      </c>
      <c r="R17" s="33" t="s">
        <v>273</v>
      </c>
      <c r="S17" s="33" t="s">
        <v>31</v>
      </c>
      <c r="T17" s="33" t="str">
        <f>VLOOKUP($E17,Tiers!A:K,10,FALSE)</f>
        <v>Tier 2</v>
      </c>
      <c r="U17" s="33" t="s">
        <v>669</v>
      </c>
      <c r="V17" s="31" t="s">
        <v>1481</v>
      </c>
      <c r="W17" s="48" t="s">
        <v>824</v>
      </c>
      <c r="X17" s="48"/>
      <c r="Y17" s="48" t="s">
        <v>824</v>
      </c>
      <c r="Z17" s="48"/>
      <c r="AA17" s="408">
        <v>2</v>
      </c>
      <c r="AB17" s="408">
        <v>2</v>
      </c>
      <c r="AC17" s="281" t="s">
        <v>670</v>
      </c>
      <c r="AD17" s="284">
        <v>61</v>
      </c>
      <c r="AE17" s="33" t="s">
        <v>292</v>
      </c>
      <c r="AF17" s="48" t="s">
        <v>37</v>
      </c>
      <c r="AG17" s="56" t="s">
        <v>364</v>
      </c>
      <c r="AH17" s="32"/>
    </row>
    <row r="18" spans="1:34" x14ac:dyDescent="0.3">
      <c r="A18" s="990" t="s">
        <v>262</v>
      </c>
      <c r="B18" s="990" t="s">
        <v>262</v>
      </c>
      <c r="C18" s="988">
        <v>17</v>
      </c>
      <c r="D18" s="358">
        <f t="shared" si="2"/>
        <v>62</v>
      </c>
      <c r="E18" s="358" t="s">
        <v>918</v>
      </c>
      <c r="F18" s="32" t="s">
        <v>595</v>
      </c>
      <c r="G18" s="32" t="s">
        <v>783</v>
      </c>
      <c r="H18" s="142" t="s">
        <v>866</v>
      </c>
      <c r="I18" s="142" t="s">
        <v>867</v>
      </c>
      <c r="J18" s="279">
        <v>12371.9585390744</v>
      </c>
      <c r="K18" s="43">
        <f t="shared" si="0"/>
        <v>2.3431739657337878</v>
      </c>
      <c r="L18" s="43" t="s">
        <v>842</v>
      </c>
      <c r="M18" s="405">
        <v>22</v>
      </c>
      <c r="N18" s="957">
        <v>9000000</v>
      </c>
      <c r="O18" s="958">
        <v>1.1399999999999999</v>
      </c>
      <c r="P18" s="148">
        <v>10260000</v>
      </c>
      <c r="Q18" s="33" t="s">
        <v>31</v>
      </c>
      <c r="R18" s="33" t="s">
        <v>273</v>
      </c>
      <c r="S18" s="33" t="s">
        <v>31</v>
      </c>
      <c r="T18" s="33" t="str">
        <f>VLOOKUP($E18,Tiers!A:K,10,FALSE)</f>
        <v>Tier 4</v>
      </c>
      <c r="U18" s="33" t="s">
        <v>671</v>
      </c>
      <c r="V18" s="31" t="s">
        <v>1487</v>
      </c>
      <c r="W18" s="48" t="s">
        <v>824</v>
      </c>
      <c r="X18" s="48" t="s">
        <v>824</v>
      </c>
      <c r="Y18" s="48"/>
      <c r="Z18" s="48"/>
      <c r="AA18" s="408">
        <v>2</v>
      </c>
      <c r="AB18" s="408">
        <v>3</v>
      </c>
      <c r="AC18" s="281" t="s">
        <v>779</v>
      </c>
      <c r="AD18" s="284">
        <v>62</v>
      </c>
      <c r="AE18" s="33" t="s">
        <v>291</v>
      </c>
      <c r="AF18" s="48" t="s">
        <v>37</v>
      </c>
      <c r="AG18" s="56" t="s">
        <v>998</v>
      </c>
      <c r="AH18" s="32"/>
    </row>
    <row r="19" spans="1:34" x14ac:dyDescent="0.3">
      <c r="A19" s="990" t="s">
        <v>262</v>
      </c>
      <c r="B19" s="990" t="s">
        <v>262</v>
      </c>
      <c r="C19" s="987">
        <v>18</v>
      </c>
      <c r="D19" s="358">
        <f t="shared" si="2"/>
        <v>63</v>
      </c>
      <c r="E19" s="358" t="s">
        <v>919</v>
      </c>
      <c r="F19" s="32" t="s">
        <v>1636</v>
      </c>
      <c r="G19" s="32" t="s">
        <v>783</v>
      </c>
      <c r="H19" s="142" t="s">
        <v>794</v>
      </c>
      <c r="I19" s="142" t="s">
        <v>656</v>
      </c>
      <c r="J19" s="279">
        <v>6550.4200071493196</v>
      </c>
      <c r="K19" s="43">
        <f t="shared" si="0"/>
        <v>1.2406098498388862</v>
      </c>
      <c r="L19" s="43" t="s">
        <v>842</v>
      </c>
      <c r="M19" s="405">
        <v>20</v>
      </c>
      <c r="N19" s="957">
        <v>6000000</v>
      </c>
      <c r="O19" s="958">
        <v>1.1399999999999999</v>
      </c>
      <c r="P19" s="148">
        <v>6839999.9999999991</v>
      </c>
      <c r="Q19" s="33" t="s">
        <v>31</v>
      </c>
      <c r="R19" s="33" t="s">
        <v>273</v>
      </c>
      <c r="S19" s="33" t="s">
        <v>31</v>
      </c>
      <c r="T19" s="33" t="str">
        <f>VLOOKUP($E19,Tiers!A:K,10,FALSE)</f>
        <v>Tier 2</v>
      </c>
      <c r="U19" s="33" t="s">
        <v>858</v>
      </c>
      <c r="V19" s="31" t="s">
        <v>1481</v>
      </c>
      <c r="W19" s="48"/>
      <c r="X19" s="48" t="s">
        <v>824</v>
      </c>
      <c r="Y19" s="48" t="s">
        <v>824</v>
      </c>
      <c r="Z19" s="48" t="s">
        <v>824</v>
      </c>
      <c r="AA19" s="408">
        <v>2</v>
      </c>
      <c r="AB19" s="408">
        <v>2</v>
      </c>
      <c r="AC19" s="281" t="s">
        <v>670</v>
      </c>
      <c r="AD19" s="284">
        <v>63</v>
      </c>
      <c r="AE19" s="33" t="s">
        <v>290</v>
      </c>
      <c r="AF19" s="48" t="s">
        <v>37</v>
      </c>
      <c r="AG19" s="56" t="s">
        <v>364</v>
      </c>
      <c r="AH19" s="32"/>
    </row>
    <row r="20" spans="1:34" x14ac:dyDescent="0.3">
      <c r="A20" s="990" t="s">
        <v>262</v>
      </c>
      <c r="B20" s="990" t="s">
        <v>262</v>
      </c>
      <c r="C20" s="988">
        <v>19</v>
      </c>
      <c r="D20" s="358">
        <f t="shared" si="2"/>
        <v>64</v>
      </c>
      <c r="E20" s="358" t="s">
        <v>920</v>
      </c>
      <c r="F20" s="32" t="s">
        <v>974</v>
      </c>
      <c r="G20" s="32" t="s">
        <v>659</v>
      </c>
      <c r="H20" s="142" t="s">
        <v>862</v>
      </c>
      <c r="I20" s="142" t="s">
        <v>728</v>
      </c>
      <c r="J20" s="279">
        <v>8842.2322117673903</v>
      </c>
      <c r="K20" s="43">
        <f t="shared" si="0"/>
        <v>1.6746651916226118</v>
      </c>
      <c r="L20" s="43" t="s">
        <v>842</v>
      </c>
      <c r="M20" s="405">
        <v>25</v>
      </c>
      <c r="N20" s="957">
        <v>13000000</v>
      </c>
      <c r="O20" s="958">
        <v>1.1399999999999999</v>
      </c>
      <c r="P20" s="148">
        <v>14819999.999999998</v>
      </c>
      <c r="Q20" s="33" t="s">
        <v>31</v>
      </c>
      <c r="R20" s="33" t="s">
        <v>273</v>
      </c>
      <c r="S20" s="33" t="s">
        <v>31</v>
      </c>
      <c r="T20" s="33" t="str">
        <f>VLOOKUP($E20,Tiers!A:K,10,FALSE)</f>
        <v>Tier 3</v>
      </c>
      <c r="U20" s="33" t="s">
        <v>671</v>
      </c>
      <c r="V20" s="31" t="s">
        <v>1481</v>
      </c>
      <c r="W20" s="48" t="s">
        <v>824</v>
      </c>
      <c r="X20" s="48" t="s">
        <v>824</v>
      </c>
      <c r="Y20" s="48" t="s">
        <v>824</v>
      </c>
      <c r="Z20" s="48" t="s">
        <v>824</v>
      </c>
      <c r="AA20" s="408">
        <v>2</v>
      </c>
      <c r="AB20" s="408">
        <v>2</v>
      </c>
      <c r="AC20" s="281" t="s">
        <v>670</v>
      </c>
      <c r="AD20" s="284">
        <v>64</v>
      </c>
      <c r="AE20" s="33" t="s">
        <v>289</v>
      </c>
      <c r="AF20" s="48" t="s">
        <v>37</v>
      </c>
      <c r="AG20" s="56" t="s">
        <v>364</v>
      </c>
      <c r="AH20" s="32" t="s">
        <v>1138</v>
      </c>
    </row>
    <row r="21" spans="1:34" x14ac:dyDescent="0.3">
      <c r="A21" s="990" t="s">
        <v>262</v>
      </c>
      <c r="B21" s="990" t="s">
        <v>262</v>
      </c>
      <c r="C21" s="987">
        <v>20</v>
      </c>
      <c r="D21" s="358">
        <f t="shared" si="2"/>
        <v>65</v>
      </c>
      <c r="E21" s="358" t="s">
        <v>921</v>
      </c>
      <c r="F21" s="32" t="s">
        <v>969</v>
      </c>
      <c r="G21" s="32" t="s">
        <v>844</v>
      </c>
      <c r="H21" s="142" t="s">
        <v>614</v>
      </c>
      <c r="I21" s="142" t="s">
        <v>728</v>
      </c>
      <c r="J21" s="279">
        <v>8060.3522345988304</v>
      </c>
      <c r="K21" s="43">
        <f t="shared" si="0"/>
        <v>1.5265818626134149</v>
      </c>
      <c r="L21" s="43" t="s">
        <v>842</v>
      </c>
      <c r="M21" s="405">
        <v>30</v>
      </c>
      <c r="N21" s="957">
        <v>11000000</v>
      </c>
      <c r="O21" s="958">
        <v>1.1399999999999999</v>
      </c>
      <c r="P21" s="148">
        <v>12539999.999999998</v>
      </c>
      <c r="Q21" s="33" t="s">
        <v>31</v>
      </c>
      <c r="R21" s="33" t="s">
        <v>273</v>
      </c>
      <c r="S21" s="33" t="s">
        <v>31</v>
      </c>
      <c r="T21" s="33" t="str">
        <f>VLOOKUP($E21,Tiers!A:K,10,FALSE)</f>
        <v>Tier 2</v>
      </c>
      <c r="U21" s="33" t="s">
        <v>671</v>
      </c>
      <c r="V21" s="31" t="s">
        <v>1481</v>
      </c>
      <c r="W21" s="48" t="s">
        <v>824</v>
      </c>
      <c r="X21" s="48" t="s">
        <v>824</v>
      </c>
      <c r="Y21" s="48" t="s">
        <v>824</v>
      </c>
      <c r="Z21" s="48"/>
      <c r="AA21" s="408">
        <v>2</v>
      </c>
      <c r="AB21" s="408">
        <v>2</v>
      </c>
      <c r="AC21" s="281" t="s">
        <v>670</v>
      </c>
      <c r="AD21" s="284">
        <v>65</v>
      </c>
      <c r="AE21" s="33" t="s">
        <v>288</v>
      </c>
      <c r="AF21" s="48" t="s">
        <v>37</v>
      </c>
      <c r="AG21" s="56" t="s">
        <v>364</v>
      </c>
      <c r="AH21" s="32"/>
    </row>
    <row r="22" spans="1:34" x14ac:dyDescent="0.3">
      <c r="A22" s="990" t="s">
        <v>262</v>
      </c>
      <c r="B22" s="990" t="s">
        <v>262</v>
      </c>
      <c r="C22" s="988">
        <v>21</v>
      </c>
      <c r="D22" s="358">
        <f t="shared" si="2"/>
        <v>67</v>
      </c>
      <c r="E22" s="358" t="s">
        <v>922</v>
      </c>
      <c r="F22" s="32" t="s">
        <v>287</v>
      </c>
      <c r="G22" s="411" t="s">
        <v>376</v>
      </c>
      <c r="H22" s="142" t="s">
        <v>618</v>
      </c>
      <c r="I22" s="142" t="s">
        <v>970</v>
      </c>
      <c r="J22" s="279">
        <v>2363.8478341462501</v>
      </c>
      <c r="K22" s="43">
        <f t="shared" si="0"/>
        <v>0.44769845343678977</v>
      </c>
      <c r="L22" s="43" t="s">
        <v>842</v>
      </c>
      <c r="M22" s="405">
        <v>10</v>
      </c>
      <c r="N22" s="957">
        <v>4000000</v>
      </c>
      <c r="O22" s="958">
        <v>1.1399999999999999</v>
      </c>
      <c r="P22" s="148">
        <v>4560000</v>
      </c>
      <c r="Q22" s="33" t="s">
        <v>31</v>
      </c>
      <c r="R22" s="33" t="s">
        <v>273</v>
      </c>
      <c r="S22" s="33" t="s">
        <v>31</v>
      </c>
      <c r="T22" s="33" t="str">
        <f>VLOOKUP($E22,Tiers!A:K,10,FALSE)</f>
        <v>Tier 4</v>
      </c>
      <c r="U22" s="33" t="s">
        <v>671</v>
      </c>
      <c r="V22" s="31" t="s">
        <v>1481</v>
      </c>
      <c r="W22" s="48" t="s">
        <v>824</v>
      </c>
      <c r="X22" s="48" t="s">
        <v>824</v>
      </c>
      <c r="Y22" s="48"/>
      <c r="Z22" s="48"/>
      <c r="AA22" s="408">
        <v>2</v>
      </c>
      <c r="AB22" s="408">
        <v>2</v>
      </c>
      <c r="AC22" s="281" t="s">
        <v>670</v>
      </c>
      <c r="AD22" s="284">
        <v>67</v>
      </c>
      <c r="AE22" s="33" t="s">
        <v>286</v>
      </c>
      <c r="AF22" s="48" t="s">
        <v>37</v>
      </c>
      <c r="AG22" s="56" t="s">
        <v>364</v>
      </c>
      <c r="AH22" s="32"/>
    </row>
    <row r="23" spans="1:34" x14ac:dyDescent="0.3">
      <c r="A23" s="990" t="s">
        <v>262</v>
      </c>
      <c r="B23" s="990" t="s">
        <v>262</v>
      </c>
      <c r="C23" s="987">
        <v>22</v>
      </c>
      <c r="D23" s="358">
        <f t="shared" si="2"/>
        <v>68</v>
      </c>
      <c r="E23" s="358" t="s">
        <v>923</v>
      </c>
      <c r="F23" s="32" t="s">
        <v>972</v>
      </c>
      <c r="G23" s="411" t="s">
        <v>376</v>
      </c>
      <c r="H23" s="142" t="s">
        <v>728</v>
      </c>
      <c r="I23" s="142" t="s">
        <v>855</v>
      </c>
      <c r="J23" s="279">
        <v>4204.4205135947996</v>
      </c>
      <c r="K23" s="43">
        <f t="shared" si="0"/>
        <v>0.79629176393840906</v>
      </c>
      <c r="L23" s="43" t="s">
        <v>842</v>
      </c>
      <c r="M23" s="405">
        <v>34</v>
      </c>
      <c r="N23" s="957">
        <v>4000000</v>
      </c>
      <c r="O23" s="1150">
        <v>0.75</v>
      </c>
      <c r="P23" s="148">
        <v>3000000</v>
      </c>
      <c r="Q23" s="33" t="s">
        <v>31</v>
      </c>
      <c r="R23" s="33" t="s">
        <v>273</v>
      </c>
      <c r="S23" s="33" t="s">
        <v>31</v>
      </c>
      <c r="T23" s="33" t="str">
        <f>VLOOKUP($E23,Tiers!A:K,10,FALSE)</f>
        <v>Tier 3</v>
      </c>
      <c r="U23" s="33" t="s">
        <v>858</v>
      </c>
      <c r="V23" s="31" t="s">
        <v>1481</v>
      </c>
      <c r="W23" s="48"/>
      <c r="X23" s="48" t="s">
        <v>824</v>
      </c>
      <c r="Y23" s="48" t="s">
        <v>824</v>
      </c>
      <c r="Z23" s="48" t="s">
        <v>824</v>
      </c>
      <c r="AA23" s="408">
        <v>2</v>
      </c>
      <c r="AB23" s="408">
        <v>2</v>
      </c>
      <c r="AC23" s="281" t="s">
        <v>670</v>
      </c>
      <c r="AD23" s="284">
        <v>68</v>
      </c>
      <c r="AE23" s="33" t="s">
        <v>285</v>
      </c>
      <c r="AF23" s="48" t="s">
        <v>37</v>
      </c>
      <c r="AG23" s="56" t="s">
        <v>364</v>
      </c>
      <c r="AH23" s="32"/>
    </row>
    <row r="24" spans="1:34" x14ac:dyDescent="0.3">
      <c r="A24" s="990" t="s">
        <v>262</v>
      </c>
      <c r="B24" s="990" t="s">
        <v>262</v>
      </c>
      <c r="C24" s="988">
        <v>23</v>
      </c>
      <c r="D24" s="358">
        <f t="shared" si="2"/>
        <v>69</v>
      </c>
      <c r="E24" s="358" t="s">
        <v>924</v>
      </c>
      <c r="F24" s="32" t="s">
        <v>283</v>
      </c>
      <c r="G24" s="32" t="s">
        <v>195</v>
      </c>
      <c r="H24" s="142" t="s">
        <v>855</v>
      </c>
      <c r="I24" s="142" t="s">
        <v>994</v>
      </c>
      <c r="J24" s="279">
        <v>9470</v>
      </c>
      <c r="K24" s="43">
        <f t="shared" si="0"/>
        <v>1.793560606060606</v>
      </c>
      <c r="L24" s="43" t="s">
        <v>842</v>
      </c>
      <c r="M24" s="405">
        <v>14</v>
      </c>
      <c r="N24" s="957">
        <v>6000000</v>
      </c>
      <c r="O24" s="958">
        <v>1.1399999999999999</v>
      </c>
      <c r="P24" s="148">
        <v>6839999.9999999991</v>
      </c>
      <c r="Q24" s="33" t="s">
        <v>31</v>
      </c>
      <c r="R24" s="33" t="s">
        <v>273</v>
      </c>
      <c r="S24" s="33" t="s">
        <v>31</v>
      </c>
      <c r="T24" s="33" t="str">
        <f>VLOOKUP($E24,Tiers!A:K,10,FALSE)</f>
        <v>Tier 2</v>
      </c>
      <c r="U24" s="33" t="s">
        <v>671</v>
      </c>
      <c r="V24" s="31" t="s">
        <v>1487</v>
      </c>
      <c r="W24" s="48" t="s">
        <v>824</v>
      </c>
      <c r="X24" s="48"/>
      <c r="Y24" s="48" t="s">
        <v>824</v>
      </c>
      <c r="Z24" s="48" t="s">
        <v>824</v>
      </c>
      <c r="AA24" s="408">
        <v>4</v>
      </c>
      <c r="AB24" s="408">
        <v>6</v>
      </c>
      <c r="AC24" s="281" t="s">
        <v>779</v>
      </c>
      <c r="AD24" s="284">
        <v>69</v>
      </c>
      <c r="AE24" s="33" t="s">
        <v>282</v>
      </c>
      <c r="AF24" s="48" t="s">
        <v>37</v>
      </c>
      <c r="AG24" s="56" t="s">
        <v>998</v>
      </c>
      <c r="AH24" s="32" t="s">
        <v>1359</v>
      </c>
    </row>
    <row r="25" spans="1:34" x14ac:dyDescent="0.3">
      <c r="C25" s="987">
        <v>24</v>
      </c>
      <c r="D25" s="358">
        <v>69</v>
      </c>
      <c r="E25" s="358" t="s">
        <v>993</v>
      </c>
      <c r="F25" s="142" t="s">
        <v>1665</v>
      </c>
      <c r="G25" s="142" t="s">
        <v>195</v>
      </c>
      <c r="H25" s="142" t="s">
        <v>994</v>
      </c>
      <c r="I25" s="142" t="s">
        <v>737</v>
      </c>
      <c r="J25" s="279">
        <v>7348.6058439999997</v>
      </c>
      <c r="K25" s="43">
        <f t="shared" si="0"/>
        <v>1.3917814098484849</v>
      </c>
      <c r="L25" s="43" t="s">
        <v>843</v>
      </c>
      <c r="M25" s="427" t="s">
        <v>376</v>
      </c>
      <c r="N25" s="952" t="s">
        <v>376</v>
      </c>
      <c r="O25" s="952"/>
      <c r="P25" s="741">
        <v>13733632.847764172</v>
      </c>
      <c r="Q25" s="33" t="s">
        <v>31</v>
      </c>
      <c r="R25" s="33" t="s">
        <v>1020</v>
      </c>
      <c r="S25" s="33" t="s">
        <v>31</v>
      </c>
      <c r="T25" s="33" t="str">
        <f>VLOOKUP($E25,Tiers!A:K,10,FALSE)</f>
        <v>--</v>
      </c>
      <c r="U25" s="33" t="s">
        <v>777</v>
      </c>
      <c r="V25" s="31" t="s">
        <v>1487</v>
      </c>
      <c r="W25" s="48" t="s">
        <v>824</v>
      </c>
      <c r="X25" s="48"/>
      <c r="Y25" s="48"/>
      <c r="Z25" s="48"/>
      <c r="AA25" s="408">
        <v>2</v>
      </c>
      <c r="AB25" s="408">
        <v>3</v>
      </c>
      <c r="AC25" s="281" t="s">
        <v>779</v>
      </c>
      <c r="AD25" s="284">
        <v>69</v>
      </c>
      <c r="AE25" s="424" t="s">
        <v>376</v>
      </c>
      <c r="AF25" s="48" t="s">
        <v>37</v>
      </c>
      <c r="AG25" s="56" t="s">
        <v>998</v>
      </c>
      <c r="AH25" s="32"/>
    </row>
    <row r="26" spans="1:34" x14ac:dyDescent="0.3">
      <c r="A26" s="990" t="s">
        <v>262</v>
      </c>
      <c r="B26" s="990" t="s">
        <v>262</v>
      </c>
      <c r="C26" s="988">
        <v>25</v>
      </c>
      <c r="D26" s="358">
        <f>AD26</f>
        <v>70</v>
      </c>
      <c r="E26" s="358" t="s">
        <v>925</v>
      </c>
      <c r="F26" s="32" t="s">
        <v>281</v>
      </c>
      <c r="G26" s="32" t="s">
        <v>973</v>
      </c>
      <c r="H26" s="142" t="s">
        <v>547</v>
      </c>
      <c r="I26" s="142" t="s">
        <v>859</v>
      </c>
      <c r="J26" s="279">
        <v>6785.4144573568301</v>
      </c>
      <c r="K26" s="43">
        <f t="shared" si="0"/>
        <v>1.2851163744993996</v>
      </c>
      <c r="L26" s="43" t="s">
        <v>842</v>
      </c>
      <c r="M26" s="405">
        <v>16</v>
      </c>
      <c r="N26" s="957">
        <v>7000000</v>
      </c>
      <c r="O26" s="958">
        <v>1.1399999999999999</v>
      </c>
      <c r="P26" s="148">
        <v>7979999.9999999991</v>
      </c>
      <c r="Q26" s="33" t="s">
        <v>57</v>
      </c>
      <c r="R26" s="33" t="s">
        <v>273</v>
      </c>
      <c r="S26" s="33" t="s">
        <v>31</v>
      </c>
      <c r="T26" s="33" t="str">
        <f>VLOOKUP($E26,Tiers!A:K,10,FALSE)</f>
        <v>Tier 4</v>
      </c>
      <c r="U26" s="33" t="s">
        <v>860</v>
      </c>
      <c r="V26" s="31" t="s">
        <v>1643</v>
      </c>
      <c r="W26" s="48"/>
      <c r="X26" s="48"/>
      <c r="Y26" s="48" t="s">
        <v>824</v>
      </c>
      <c r="Z26" s="48"/>
      <c r="AA26" s="408">
        <v>2</v>
      </c>
      <c r="AB26" s="408">
        <v>2</v>
      </c>
      <c r="AC26" s="281" t="s">
        <v>670</v>
      </c>
      <c r="AD26" s="284">
        <v>70</v>
      </c>
      <c r="AE26" s="33" t="s">
        <v>280</v>
      </c>
      <c r="AF26" s="48" t="s">
        <v>37</v>
      </c>
      <c r="AG26" s="56" t="s">
        <v>364</v>
      </c>
      <c r="AH26" s="32"/>
    </row>
    <row r="27" spans="1:34" x14ac:dyDescent="0.3">
      <c r="A27" s="990" t="s">
        <v>262</v>
      </c>
      <c r="B27" s="990" t="s">
        <v>262</v>
      </c>
      <c r="C27" s="987">
        <v>26</v>
      </c>
      <c r="D27" s="358">
        <f>AD27</f>
        <v>71</v>
      </c>
      <c r="E27" s="358" t="s">
        <v>926</v>
      </c>
      <c r="F27" s="32" t="s">
        <v>1756</v>
      </c>
      <c r="G27" s="411" t="s">
        <v>376</v>
      </c>
      <c r="H27" s="142" t="s">
        <v>786</v>
      </c>
      <c r="I27" s="142" t="s">
        <v>872</v>
      </c>
      <c r="J27" s="279">
        <v>2865.5948530000001</v>
      </c>
      <c r="K27" s="43">
        <f t="shared" si="0"/>
        <v>0.54272629791666671</v>
      </c>
      <c r="L27" s="43" t="s">
        <v>842</v>
      </c>
      <c r="M27" s="405">
        <v>28</v>
      </c>
      <c r="N27" s="957"/>
      <c r="O27" s="958"/>
      <c r="P27" s="741">
        <v>2188704.7774858274</v>
      </c>
      <c r="Q27" s="33" t="s">
        <v>57</v>
      </c>
      <c r="R27" s="33" t="s">
        <v>273</v>
      </c>
      <c r="S27" s="33" t="s">
        <v>31</v>
      </c>
      <c r="T27" s="33" t="str">
        <f>VLOOKUP($E27,Tiers!A:K,10,FALSE)</f>
        <v>Tier 2</v>
      </c>
      <c r="U27" s="33" t="s">
        <v>860</v>
      </c>
      <c r="V27" s="31" t="s">
        <v>1643</v>
      </c>
      <c r="W27" s="48"/>
      <c r="X27" s="48" t="s">
        <v>824</v>
      </c>
      <c r="Y27" s="48" t="s">
        <v>824</v>
      </c>
      <c r="Z27" s="48"/>
      <c r="AA27" s="408" t="s">
        <v>262</v>
      </c>
      <c r="AB27" s="408" t="s">
        <v>262</v>
      </c>
      <c r="AC27" s="281" t="s">
        <v>670</v>
      </c>
      <c r="AD27" s="284">
        <v>71</v>
      </c>
      <c r="AE27" s="33" t="s">
        <v>278</v>
      </c>
      <c r="AF27" s="48" t="s">
        <v>37</v>
      </c>
      <c r="AG27" s="56" t="s">
        <v>364</v>
      </c>
      <c r="AH27" s="32"/>
    </row>
    <row r="28" spans="1:34" x14ac:dyDescent="0.3">
      <c r="A28" s="990" t="s">
        <v>262</v>
      </c>
      <c r="B28" s="990" t="s">
        <v>262</v>
      </c>
      <c r="C28" s="988">
        <v>27</v>
      </c>
      <c r="D28" s="358">
        <f>AD28</f>
        <v>72</v>
      </c>
      <c r="E28" s="358" t="s">
        <v>927</v>
      </c>
      <c r="F28" s="32" t="s">
        <v>277</v>
      </c>
      <c r="G28" s="411" t="s">
        <v>376</v>
      </c>
      <c r="H28" s="142" t="s">
        <v>869</v>
      </c>
      <c r="I28" s="142" t="s">
        <v>870</v>
      </c>
      <c r="J28" s="279">
        <v>11345.1685623786</v>
      </c>
      <c r="K28" s="43">
        <f t="shared" si="0"/>
        <v>2.148706167117159</v>
      </c>
      <c r="L28" s="43" t="s">
        <v>842</v>
      </c>
      <c r="M28" s="405">
        <v>26</v>
      </c>
      <c r="N28" s="957">
        <v>1000000</v>
      </c>
      <c r="O28" s="958">
        <v>1.1399999999999999</v>
      </c>
      <c r="P28" s="148">
        <v>1140000</v>
      </c>
      <c r="Q28" s="33" t="s">
        <v>48</v>
      </c>
      <c r="R28" s="33" t="s">
        <v>273</v>
      </c>
      <c r="S28" s="33" t="s">
        <v>31</v>
      </c>
      <c r="T28" s="33" t="str">
        <f>VLOOKUP($E28,Tiers!A:K,10,FALSE)</f>
        <v>Tier 1</v>
      </c>
      <c r="U28" s="33" t="s">
        <v>858</v>
      </c>
      <c r="V28" s="31" t="s">
        <v>48</v>
      </c>
      <c r="W28" s="48"/>
      <c r="X28" s="48"/>
      <c r="Y28" s="48"/>
      <c r="Z28" s="48" t="s">
        <v>824</v>
      </c>
      <c r="AA28" s="408" t="s">
        <v>262</v>
      </c>
      <c r="AB28" s="408" t="s">
        <v>262</v>
      </c>
      <c r="AC28" s="281" t="s">
        <v>670</v>
      </c>
      <c r="AD28" s="284">
        <v>72</v>
      </c>
      <c r="AE28" s="33" t="s">
        <v>276</v>
      </c>
      <c r="AF28" s="48" t="s">
        <v>37</v>
      </c>
      <c r="AG28" s="56" t="s">
        <v>364</v>
      </c>
      <c r="AH28" s="32"/>
    </row>
    <row r="29" spans="1:34" x14ac:dyDescent="0.3">
      <c r="A29" s="990" t="s">
        <v>262</v>
      </c>
      <c r="B29" s="990" t="s">
        <v>262</v>
      </c>
      <c r="C29" s="987">
        <v>28</v>
      </c>
      <c r="D29" s="358">
        <v>73</v>
      </c>
      <c r="E29" s="358" t="s">
        <v>986</v>
      </c>
      <c r="F29" s="142" t="s">
        <v>1494</v>
      </c>
      <c r="G29" s="142" t="s">
        <v>728</v>
      </c>
      <c r="H29" s="142" t="s">
        <v>1495</v>
      </c>
      <c r="I29" s="142" t="s">
        <v>1496</v>
      </c>
      <c r="J29" s="279">
        <v>9610.5019439999996</v>
      </c>
      <c r="K29" s="43">
        <f t="shared" ref="K29:K53" si="3">J29/5280</f>
        <v>1.8201708227272726</v>
      </c>
      <c r="L29" s="43" t="s">
        <v>843</v>
      </c>
      <c r="M29" s="427" t="s">
        <v>376</v>
      </c>
      <c r="N29" s="965" t="s">
        <v>376</v>
      </c>
      <c r="O29" s="965"/>
      <c r="P29" s="148">
        <v>14502841.645762801</v>
      </c>
      <c r="Q29" s="33" t="s">
        <v>31</v>
      </c>
      <c r="R29" s="33" t="s">
        <v>1020</v>
      </c>
      <c r="S29" s="33" t="s">
        <v>31</v>
      </c>
      <c r="T29" s="33" t="str">
        <f>VLOOKUP($E29,Tiers!A:K,10,FALSE)</f>
        <v>--</v>
      </c>
      <c r="U29" s="33" t="s">
        <v>777</v>
      </c>
      <c r="V29" s="31" t="s">
        <v>672</v>
      </c>
      <c r="W29" s="48" t="s">
        <v>824</v>
      </c>
      <c r="X29" s="48" t="s">
        <v>824</v>
      </c>
      <c r="Y29" s="48" t="s">
        <v>824</v>
      </c>
      <c r="Z29" s="48" t="s">
        <v>824</v>
      </c>
      <c r="AA29" s="408">
        <v>5</v>
      </c>
      <c r="AB29" s="408">
        <v>5</v>
      </c>
      <c r="AC29" s="281" t="s">
        <v>670</v>
      </c>
      <c r="AD29" s="284">
        <v>108</v>
      </c>
      <c r="AE29" s="424" t="s">
        <v>376</v>
      </c>
      <c r="AF29" s="48" t="s">
        <v>37</v>
      </c>
      <c r="AG29" s="56" t="s">
        <v>364</v>
      </c>
      <c r="AH29" s="32" t="s">
        <v>1430</v>
      </c>
    </row>
    <row r="30" spans="1:34" x14ac:dyDescent="0.3">
      <c r="A30" s="990" t="s">
        <v>262</v>
      </c>
      <c r="B30" s="990" t="s">
        <v>262</v>
      </c>
      <c r="C30" s="988">
        <v>29</v>
      </c>
      <c r="D30" s="358">
        <v>74</v>
      </c>
      <c r="E30" s="358" t="s">
        <v>1417</v>
      </c>
      <c r="F30" s="142" t="s">
        <v>1418</v>
      </c>
      <c r="G30" s="142" t="s">
        <v>1419</v>
      </c>
      <c r="H30" s="142" t="s">
        <v>1420</v>
      </c>
      <c r="I30" s="142" t="s">
        <v>1421</v>
      </c>
      <c r="J30" s="279">
        <v>6940.4869209999997</v>
      </c>
      <c r="K30" s="43">
        <f t="shared" si="3"/>
        <v>1.314486159280303</v>
      </c>
      <c r="L30" s="43" t="s">
        <v>843</v>
      </c>
      <c r="M30" s="427" t="s">
        <v>376</v>
      </c>
      <c r="N30" s="965" t="s">
        <v>376</v>
      </c>
      <c r="O30" s="965"/>
      <c r="P30" s="741">
        <v>2128359.6289559249</v>
      </c>
      <c r="Q30" s="33" t="s">
        <v>31</v>
      </c>
      <c r="R30" s="33" t="s">
        <v>1073</v>
      </c>
      <c r="S30" s="33" t="s">
        <v>31</v>
      </c>
      <c r="T30" s="33" t="str">
        <f>VLOOKUP($E30,Tiers!A:K,10,FALSE)</f>
        <v>--</v>
      </c>
      <c r="U30" s="33" t="s">
        <v>1423</v>
      </c>
      <c r="V30" s="31" t="s">
        <v>1487</v>
      </c>
      <c r="W30" s="48" t="s">
        <v>824</v>
      </c>
      <c r="X30" s="48"/>
      <c r="Y30" s="48"/>
      <c r="Z30" s="48"/>
      <c r="AA30" s="408">
        <v>2</v>
      </c>
      <c r="AB30" s="408">
        <v>2</v>
      </c>
      <c r="AC30" s="281" t="s">
        <v>670</v>
      </c>
      <c r="AD30" s="284">
        <v>74</v>
      </c>
      <c r="AE30" s="424" t="s">
        <v>376</v>
      </c>
      <c r="AF30" s="48" t="s">
        <v>37</v>
      </c>
      <c r="AG30" s="56"/>
      <c r="AH30" s="32" t="s">
        <v>1422</v>
      </c>
    </row>
    <row r="31" spans="1:34" x14ac:dyDescent="0.3">
      <c r="C31" s="987">
        <v>30</v>
      </c>
      <c r="D31" s="358">
        <f>AD31</f>
        <v>101</v>
      </c>
      <c r="E31" s="358" t="s">
        <v>929</v>
      </c>
      <c r="F31" s="142" t="s">
        <v>980</v>
      </c>
      <c r="G31" s="142" t="s">
        <v>783</v>
      </c>
      <c r="H31" s="142" t="s">
        <v>958</v>
      </c>
      <c r="I31" s="142" t="s">
        <v>959</v>
      </c>
      <c r="J31" s="279">
        <v>2963</v>
      </c>
      <c r="K31" s="43">
        <f t="shared" si="3"/>
        <v>0.56117424242424241</v>
      </c>
      <c r="L31" s="43" t="s">
        <v>843</v>
      </c>
      <c r="M31" s="427" t="s">
        <v>376</v>
      </c>
      <c r="N31" s="952" t="s">
        <v>376</v>
      </c>
      <c r="O31" s="952"/>
      <c r="P31" s="741">
        <v>12339268.92</v>
      </c>
      <c r="Q31" s="33" t="s">
        <v>31</v>
      </c>
      <c r="R31" s="33" t="s">
        <v>1020</v>
      </c>
      <c r="S31" s="33" t="s">
        <v>31</v>
      </c>
      <c r="T31" s="33" t="str">
        <f>VLOOKUP($E31,Tiers!A:K,10,FALSE)</f>
        <v>--</v>
      </c>
      <c r="U31" s="33" t="s">
        <v>777</v>
      </c>
      <c r="V31" s="31" t="s">
        <v>1487</v>
      </c>
      <c r="W31" s="48" t="s">
        <v>824</v>
      </c>
      <c r="X31" s="48"/>
      <c r="Y31" s="48"/>
      <c r="Z31" s="48"/>
      <c r="AA31" s="408">
        <v>2</v>
      </c>
      <c r="AB31" s="408">
        <v>4</v>
      </c>
      <c r="AC31" s="281" t="s">
        <v>779</v>
      </c>
      <c r="AD31" s="284">
        <v>101</v>
      </c>
      <c r="AE31" s="424" t="s">
        <v>376</v>
      </c>
      <c r="AF31" s="48" t="s">
        <v>37</v>
      </c>
      <c r="AG31" s="56" t="s">
        <v>998</v>
      </c>
      <c r="AH31" s="32"/>
    </row>
    <row r="32" spans="1:34" x14ac:dyDescent="0.3">
      <c r="C32" s="988">
        <v>31</v>
      </c>
      <c r="D32" s="358">
        <v>102</v>
      </c>
      <c r="E32" s="358" t="s">
        <v>930</v>
      </c>
      <c r="F32" s="142" t="s">
        <v>1070</v>
      </c>
      <c r="G32" s="142"/>
      <c r="H32" s="142" t="s">
        <v>1071</v>
      </c>
      <c r="I32" s="142" t="s">
        <v>1072</v>
      </c>
      <c r="J32" s="279">
        <v>14745.011225</v>
      </c>
      <c r="K32" s="43">
        <f t="shared" si="3"/>
        <v>2.7926157623106063</v>
      </c>
      <c r="L32" s="43" t="s">
        <v>843</v>
      </c>
      <c r="M32" s="427" t="s">
        <v>376</v>
      </c>
      <c r="N32" s="952" t="s">
        <v>376</v>
      </c>
      <c r="O32" s="952"/>
      <c r="P32" s="741">
        <v>21566392.906577066</v>
      </c>
      <c r="Q32" s="33" t="s">
        <v>31</v>
      </c>
      <c r="R32" s="33" t="s">
        <v>1073</v>
      </c>
      <c r="S32" s="33" t="s">
        <v>31</v>
      </c>
      <c r="T32" s="33" t="str">
        <f>VLOOKUP($E32,Tiers!A:K,10,FALSE)</f>
        <v>--</v>
      </c>
      <c r="U32" s="33" t="s">
        <v>1073</v>
      </c>
      <c r="V32" s="31" t="s">
        <v>1481</v>
      </c>
      <c r="W32" s="48" t="s">
        <v>824</v>
      </c>
      <c r="X32" s="48" t="s">
        <v>824</v>
      </c>
      <c r="Y32" s="48" t="s">
        <v>824</v>
      </c>
      <c r="Z32" s="48"/>
      <c r="AA32" s="408">
        <v>2</v>
      </c>
      <c r="AB32" s="408">
        <v>2</v>
      </c>
      <c r="AC32" s="281" t="s">
        <v>670</v>
      </c>
      <c r="AD32" s="284">
        <v>102</v>
      </c>
      <c r="AE32" s="424"/>
      <c r="AF32" s="48" t="s">
        <v>37</v>
      </c>
      <c r="AG32" s="56"/>
      <c r="AH32" s="32" t="s">
        <v>1074</v>
      </c>
    </row>
    <row r="33" spans="3:34" x14ac:dyDescent="0.3">
      <c r="C33" s="987">
        <v>32</v>
      </c>
      <c r="D33" s="358">
        <v>103</v>
      </c>
      <c r="E33" s="358" t="s">
        <v>931</v>
      </c>
      <c r="F33" s="142" t="s">
        <v>1086</v>
      </c>
      <c r="G33" s="142"/>
      <c r="H33" s="142" t="s">
        <v>820</v>
      </c>
      <c r="I33" s="142" t="s">
        <v>1085</v>
      </c>
      <c r="J33" s="279">
        <v>27573.870703000001</v>
      </c>
      <c r="K33" s="43">
        <f t="shared" si="3"/>
        <v>5.222323996780303</v>
      </c>
      <c r="L33" s="43" t="s">
        <v>843</v>
      </c>
      <c r="M33" s="427" t="s">
        <v>376</v>
      </c>
      <c r="N33" s="952" t="s">
        <v>376</v>
      </c>
      <c r="O33" s="952"/>
      <c r="P33" s="741">
        <v>22145971.624969725</v>
      </c>
      <c r="Q33" s="33" t="s">
        <v>31</v>
      </c>
      <c r="R33" s="33" t="s">
        <v>273</v>
      </c>
      <c r="S33" s="33" t="s">
        <v>31</v>
      </c>
      <c r="T33" s="33" t="str">
        <f>VLOOKUP($E33,Tiers!A:K,10,FALSE)</f>
        <v>--</v>
      </c>
      <c r="U33" s="33" t="s">
        <v>858</v>
      </c>
      <c r="V33" s="31" t="s">
        <v>1481</v>
      </c>
      <c r="W33" s="48" t="s">
        <v>824</v>
      </c>
      <c r="X33" s="48" t="s">
        <v>824</v>
      </c>
      <c r="Y33" s="48" t="s">
        <v>824</v>
      </c>
      <c r="Z33" s="48"/>
      <c r="AA33" s="408">
        <v>2</v>
      </c>
      <c r="AB33" s="408">
        <v>2</v>
      </c>
      <c r="AC33" s="281" t="s">
        <v>670</v>
      </c>
      <c r="AD33" s="284">
        <v>103</v>
      </c>
      <c r="AE33" s="424"/>
      <c r="AF33" s="48" t="s">
        <v>37</v>
      </c>
      <c r="AG33" s="56"/>
      <c r="AH33" s="32" t="s">
        <v>1087</v>
      </c>
    </row>
    <row r="34" spans="3:34" x14ac:dyDescent="0.3">
      <c r="C34" s="988">
        <v>33</v>
      </c>
      <c r="D34" s="358">
        <f>AD34</f>
        <v>104</v>
      </c>
      <c r="E34" s="358" t="s">
        <v>932</v>
      </c>
      <c r="F34" s="142" t="s">
        <v>979</v>
      </c>
      <c r="G34" s="403" t="s">
        <v>376</v>
      </c>
      <c r="H34" s="142" t="s">
        <v>855</v>
      </c>
      <c r="I34" s="142" t="s">
        <v>1065</v>
      </c>
      <c r="J34" s="279">
        <v>1496</v>
      </c>
      <c r="K34" s="43">
        <f t="shared" si="3"/>
        <v>0.28333333333333333</v>
      </c>
      <c r="L34" s="43" t="s">
        <v>843</v>
      </c>
      <c r="M34" s="427" t="s">
        <v>376</v>
      </c>
      <c r="N34" s="952" t="s">
        <v>376</v>
      </c>
      <c r="O34" s="952"/>
      <c r="P34" s="741">
        <v>2833997.3101043999</v>
      </c>
      <c r="Q34" s="33" t="s">
        <v>31</v>
      </c>
      <c r="R34" s="33" t="s">
        <v>1020</v>
      </c>
      <c r="S34" s="33" t="s">
        <v>31</v>
      </c>
      <c r="T34" s="33" t="str">
        <f>VLOOKUP($E34,Tiers!A:K,10,FALSE)</f>
        <v>--</v>
      </c>
      <c r="U34" s="33" t="s">
        <v>777</v>
      </c>
      <c r="V34" s="31" t="s">
        <v>1481</v>
      </c>
      <c r="W34" s="48" t="s">
        <v>824</v>
      </c>
      <c r="X34" s="48"/>
      <c r="Y34" s="48"/>
      <c r="Z34" s="48"/>
      <c r="AA34" s="408">
        <v>2</v>
      </c>
      <c r="AB34" s="408">
        <v>2</v>
      </c>
      <c r="AC34" s="281" t="s">
        <v>670</v>
      </c>
      <c r="AD34" s="284">
        <v>104</v>
      </c>
      <c r="AE34" s="424" t="s">
        <v>376</v>
      </c>
      <c r="AF34" s="48" t="s">
        <v>37</v>
      </c>
      <c r="AG34" s="56" t="s">
        <v>364</v>
      </c>
      <c r="AH34" s="32"/>
    </row>
    <row r="35" spans="3:34" x14ac:dyDescent="0.3">
      <c r="C35" s="987">
        <v>34</v>
      </c>
      <c r="D35" s="358">
        <f>AD35</f>
        <v>105</v>
      </c>
      <c r="E35" s="358" t="s">
        <v>933</v>
      </c>
      <c r="F35" s="142" t="s">
        <v>1680</v>
      </c>
      <c r="G35" s="142" t="s">
        <v>659</v>
      </c>
      <c r="H35" s="142" t="s">
        <v>975</v>
      </c>
      <c r="I35" s="142" t="s">
        <v>427</v>
      </c>
      <c r="J35" s="279">
        <v>2190</v>
      </c>
      <c r="K35" s="43">
        <f t="shared" si="3"/>
        <v>0.41477272727272729</v>
      </c>
      <c r="L35" s="43" t="s">
        <v>843</v>
      </c>
      <c r="M35" s="427" t="s">
        <v>376</v>
      </c>
      <c r="N35" s="952" t="s">
        <v>376</v>
      </c>
      <c r="O35" s="952"/>
      <c r="P35" s="741">
        <v>3405779.19</v>
      </c>
      <c r="Q35" s="33" t="s">
        <v>31</v>
      </c>
      <c r="R35" s="33" t="s">
        <v>1020</v>
      </c>
      <c r="S35" s="33" t="s">
        <v>31</v>
      </c>
      <c r="T35" s="33" t="str">
        <f>VLOOKUP($E35,Tiers!A:K,10,FALSE)</f>
        <v>--</v>
      </c>
      <c r="U35" s="33" t="s">
        <v>777</v>
      </c>
      <c r="V35" s="31" t="s">
        <v>1487</v>
      </c>
      <c r="W35" s="48" t="s">
        <v>824</v>
      </c>
      <c r="X35" s="48"/>
      <c r="Y35" s="48"/>
      <c r="Z35" s="48"/>
      <c r="AA35" s="408">
        <v>2</v>
      </c>
      <c r="AB35" s="408">
        <v>3</v>
      </c>
      <c r="AC35" s="281" t="s">
        <v>779</v>
      </c>
      <c r="AD35" s="284">
        <v>105</v>
      </c>
      <c r="AE35" s="424" t="s">
        <v>376</v>
      </c>
      <c r="AF35" s="48" t="s">
        <v>37</v>
      </c>
      <c r="AG35" s="56" t="s">
        <v>998</v>
      </c>
      <c r="AH35" s="32" t="s">
        <v>780</v>
      </c>
    </row>
    <row r="36" spans="3:34" x14ac:dyDescent="0.3">
      <c r="C36" s="988">
        <v>35</v>
      </c>
      <c r="D36" s="358">
        <v>106</v>
      </c>
      <c r="E36" s="358" t="s">
        <v>934</v>
      </c>
      <c r="F36" s="142" t="s">
        <v>1088</v>
      </c>
      <c r="G36" s="142"/>
      <c r="H36" s="142" t="s">
        <v>1089</v>
      </c>
      <c r="I36" s="142" t="s">
        <v>1090</v>
      </c>
      <c r="J36" s="279">
        <v>6566.8145359999999</v>
      </c>
      <c r="K36" s="43">
        <f t="shared" ref="K36" si="4">J36/5280</f>
        <v>1.2437148742424242</v>
      </c>
      <c r="L36" s="43" t="s">
        <v>843</v>
      </c>
      <c r="M36" s="427" t="s">
        <v>376</v>
      </c>
      <c r="N36" s="952" t="s">
        <v>376</v>
      </c>
      <c r="O36" s="952"/>
      <c r="P36" s="741">
        <v>8291399.7520343103</v>
      </c>
      <c r="Q36" s="33" t="s">
        <v>31</v>
      </c>
      <c r="R36" s="33" t="s">
        <v>273</v>
      </c>
      <c r="S36" s="33" t="s">
        <v>31</v>
      </c>
      <c r="T36" s="33" t="str">
        <f>VLOOKUP($E36,Tiers!A:K,10,FALSE)</f>
        <v>--</v>
      </c>
      <c r="U36" s="33" t="s">
        <v>858</v>
      </c>
      <c r="V36" s="31" t="s">
        <v>1481</v>
      </c>
      <c r="W36" s="48" t="s">
        <v>824</v>
      </c>
      <c r="X36" s="48" t="s">
        <v>824</v>
      </c>
      <c r="Y36" s="48" t="s">
        <v>824</v>
      </c>
      <c r="Z36" s="48"/>
      <c r="AA36" s="408">
        <v>2</v>
      </c>
      <c r="AB36" s="408">
        <v>2</v>
      </c>
      <c r="AC36" s="281" t="s">
        <v>670</v>
      </c>
      <c r="AD36" s="284">
        <v>106</v>
      </c>
      <c r="AE36" s="424"/>
      <c r="AF36" s="48" t="s">
        <v>37</v>
      </c>
      <c r="AG36" s="56"/>
      <c r="AH36" s="32" t="s">
        <v>1091</v>
      </c>
    </row>
    <row r="37" spans="3:34" x14ac:dyDescent="0.3">
      <c r="C37" s="987">
        <v>36</v>
      </c>
      <c r="D37" s="358">
        <f>AD37</f>
        <v>107</v>
      </c>
      <c r="E37" s="358" t="s">
        <v>935</v>
      </c>
      <c r="F37" s="142" t="s">
        <v>978</v>
      </c>
      <c r="G37" s="403" t="s">
        <v>376</v>
      </c>
      <c r="H37" s="142" t="s">
        <v>981</v>
      </c>
      <c r="I37" s="142" t="s">
        <v>982</v>
      </c>
      <c r="J37" s="279">
        <v>6979.0732099999996</v>
      </c>
      <c r="K37" s="43">
        <f t="shared" si="3"/>
        <v>1.3217941685606061</v>
      </c>
      <c r="L37" s="43" t="s">
        <v>843</v>
      </c>
      <c r="M37" s="427" t="s">
        <v>376</v>
      </c>
      <c r="N37" s="952" t="s">
        <v>376</v>
      </c>
      <c r="O37" s="952"/>
      <c r="P37" s="741">
        <v>10557983.516850002</v>
      </c>
      <c r="Q37" s="33" t="s">
        <v>31</v>
      </c>
      <c r="R37" s="33" t="s">
        <v>1020</v>
      </c>
      <c r="S37" s="33" t="s">
        <v>31</v>
      </c>
      <c r="T37" s="33" t="str">
        <f>VLOOKUP($E37,Tiers!A:K,10,FALSE)</f>
        <v>--</v>
      </c>
      <c r="U37" s="33" t="s">
        <v>777</v>
      </c>
      <c r="V37" s="31" t="s">
        <v>1481</v>
      </c>
      <c r="W37" s="48" t="s">
        <v>824</v>
      </c>
      <c r="X37" s="48"/>
      <c r="Y37" s="48"/>
      <c r="Z37" s="48"/>
      <c r="AA37" s="408">
        <v>2</v>
      </c>
      <c r="AB37" s="408">
        <v>2</v>
      </c>
      <c r="AC37" s="281" t="s">
        <v>670</v>
      </c>
      <c r="AD37" s="284">
        <v>107</v>
      </c>
      <c r="AE37" s="424" t="s">
        <v>376</v>
      </c>
      <c r="AF37" s="48" t="s">
        <v>37</v>
      </c>
      <c r="AG37" s="56" t="s">
        <v>364</v>
      </c>
      <c r="AH37" s="32" t="s">
        <v>983</v>
      </c>
    </row>
    <row r="38" spans="3:34" x14ac:dyDescent="0.3">
      <c r="C38" s="988">
        <v>37</v>
      </c>
      <c r="D38" s="358">
        <v>108</v>
      </c>
      <c r="E38" s="358" t="s">
        <v>936</v>
      </c>
      <c r="F38" s="142" t="s">
        <v>1094</v>
      </c>
      <c r="G38" s="403" t="s">
        <v>1092</v>
      </c>
      <c r="H38" s="142" t="s">
        <v>1090</v>
      </c>
      <c r="I38" s="142" t="s">
        <v>814</v>
      </c>
      <c r="J38" s="279">
        <v>7248.2255439999999</v>
      </c>
      <c r="K38" s="43">
        <f t="shared" si="3"/>
        <v>1.3727699893939393</v>
      </c>
      <c r="L38" s="43" t="s">
        <v>843</v>
      </c>
      <c r="M38" s="427" t="s">
        <v>376</v>
      </c>
      <c r="N38" s="952" t="s">
        <v>376</v>
      </c>
      <c r="O38" s="952"/>
      <c r="P38" s="741">
        <v>10643439.654631557</v>
      </c>
      <c r="Q38" s="33" t="s">
        <v>31</v>
      </c>
      <c r="R38" s="33" t="s">
        <v>273</v>
      </c>
      <c r="S38" s="33" t="s">
        <v>31</v>
      </c>
      <c r="T38" s="33" t="str">
        <f>VLOOKUP($E38,Tiers!A:K,10,FALSE)</f>
        <v>--</v>
      </c>
      <c r="U38" s="33" t="s">
        <v>1093</v>
      </c>
      <c r="V38" s="31" t="s">
        <v>1481</v>
      </c>
      <c r="W38" s="48" t="s">
        <v>824</v>
      </c>
      <c r="X38" s="48" t="s">
        <v>824</v>
      </c>
      <c r="Y38" s="48" t="s">
        <v>824</v>
      </c>
      <c r="Z38" s="48"/>
      <c r="AA38" s="408">
        <v>2</v>
      </c>
      <c r="AB38" s="408">
        <v>2</v>
      </c>
      <c r="AC38" s="281" t="s">
        <v>670</v>
      </c>
      <c r="AD38" s="284">
        <v>108</v>
      </c>
      <c r="AE38" s="424"/>
      <c r="AF38" s="48" t="s">
        <v>37</v>
      </c>
      <c r="AG38" s="56"/>
      <c r="AH38" s="32" t="s">
        <v>1095</v>
      </c>
    </row>
    <row r="39" spans="3:34" x14ac:dyDescent="0.3">
      <c r="C39" s="987">
        <v>38</v>
      </c>
      <c r="D39" s="358">
        <f t="shared" ref="D39:D54" si="5">AD39</f>
        <v>109</v>
      </c>
      <c r="E39" s="358" t="s">
        <v>937</v>
      </c>
      <c r="F39" s="142" t="s">
        <v>987</v>
      </c>
      <c r="G39" s="403" t="s">
        <v>376</v>
      </c>
      <c r="H39" s="142" t="s">
        <v>735</v>
      </c>
      <c r="I39" s="142" t="s">
        <v>734</v>
      </c>
      <c r="J39" s="279">
        <v>1945.917383</v>
      </c>
      <c r="K39" s="43">
        <f t="shared" si="3"/>
        <v>0.36854495890151517</v>
      </c>
      <c r="L39" s="43" t="s">
        <v>843</v>
      </c>
      <c r="M39" s="427" t="s">
        <v>376</v>
      </c>
      <c r="N39" s="952" t="s">
        <v>376</v>
      </c>
      <c r="O39" s="952"/>
      <c r="P39" s="741">
        <v>4525475.7083295379</v>
      </c>
      <c r="Q39" s="33" t="s">
        <v>31</v>
      </c>
      <c r="R39" s="33" t="s">
        <v>1020</v>
      </c>
      <c r="S39" s="33" t="s">
        <v>31</v>
      </c>
      <c r="T39" s="33" t="str">
        <f>VLOOKUP($E39,Tiers!A:K,10,FALSE)</f>
        <v>--</v>
      </c>
      <c r="U39" s="33" t="s">
        <v>777</v>
      </c>
      <c r="V39" s="31" t="s">
        <v>1487</v>
      </c>
      <c r="W39" s="48" t="s">
        <v>824</v>
      </c>
      <c r="X39" s="48" t="s">
        <v>824</v>
      </c>
      <c r="Y39" s="48"/>
      <c r="Z39" s="48"/>
      <c r="AA39" s="408">
        <v>2</v>
      </c>
      <c r="AB39" s="408">
        <v>3</v>
      </c>
      <c r="AC39" s="281" t="s">
        <v>779</v>
      </c>
      <c r="AD39" s="284">
        <v>109</v>
      </c>
      <c r="AE39" s="424" t="s">
        <v>376</v>
      </c>
      <c r="AF39" s="48" t="s">
        <v>37</v>
      </c>
      <c r="AG39" s="56" t="s">
        <v>998</v>
      </c>
      <c r="AH39" s="32" t="s">
        <v>1066</v>
      </c>
    </row>
    <row r="40" spans="3:34" x14ac:dyDescent="0.3">
      <c r="C40" s="987">
        <v>39</v>
      </c>
      <c r="D40" s="358">
        <v>110</v>
      </c>
      <c r="E40" s="358" t="s">
        <v>1439</v>
      </c>
      <c r="F40" s="142" t="s">
        <v>1428</v>
      </c>
      <c r="G40" s="403" t="s">
        <v>376</v>
      </c>
      <c r="H40" s="142" t="s">
        <v>1480</v>
      </c>
      <c r="I40" s="142" t="s">
        <v>614</v>
      </c>
      <c r="J40" s="279">
        <v>4552.4105939999999</v>
      </c>
      <c r="K40" s="43">
        <f t="shared" si="3"/>
        <v>0.86219897613636365</v>
      </c>
      <c r="L40" s="43" t="s">
        <v>843</v>
      </c>
      <c r="M40" s="427" t="s">
        <v>376</v>
      </c>
      <c r="N40" s="952" t="s">
        <v>376</v>
      </c>
      <c r="O40" s="952"/>
      <c r="P40" s="741">
        <v>5056540.6704070503</v>
      </c>
      <c r="Q40" s="33" t="s">
        <v>31</v>
      </c>
      <c r="R40" s="33" t="s">
        <v>273</v>
      </c>
      <c r="S40" s="33" t="s">
        <v>31</v>
      </c>
      <c r="T40" s="33" t="str">
        <f>VLOOKUP($E40,Tiers!A:K,10,FALSE)</f>
        <v>--</v>
      </c>
      <c r="U40" s="33" t="s">
        <v>777</v>
      </c>
      <c r="V40" s="31" t="s">
        <v>672</v>
      </c>
      <c r="W40" s="48" t="s">
        <v>824</v>
      </c>
      <c r="X40" s="48" t="s">
        <v>824</v>
      </c>
      <c r="Y40" s="48" t="s">
        <v>824</v>
      </c>
      <c r="Z40" s="48" t="s">
        <v>824</v>
      </c>
      <c r="AA40" s="1004" t="s">
        <v>1440</v>
      </c>
      <c r="AB40" s="408">
        <v>3</v>
      </c>
      <c r="AC40" s="281" t="s">
        <v>779</v>
      </c>
      <c r="AD40" s="284">
        <v>110</v>
      </c>
      <c r="AE40" s="424"/>
      <c r="AF40" s="48" t="s">
        <v>37</v>
      </c>
      <c r="AG40" s="56"/>
      <c r="AH40" s="32" t="s">
        <v>1441</v>
      </c>
    </row>
    <row r="41" spans="3:34" x14ac:dyDescent="0.3">
      <c r="C41" s="987">
        <v>40</v>
      </c>
      <c r="D41" s="358">
        <v>114</v>
      </c>
      <c r="E41" s="358" t="s">
        <v>947</v>
      </c>
      <c r="F41" s="142" t="s">
        <v>996</v>
      </c>
      <c r="G41" s="403" t="s">
        <v>747</v>
      </c>
      <c r="H41" s="142" t="s">
        <v>995</v>
      </c>
      <c r="I41" s="142" t="s">
        <v>1628</v>
      </c>
      <c r="J41" s="279">
        <f>18955.042989/2</f>
        <v>9477.5214945000007</v>
      </c>
      <c r="K41" s="43">
        <f t="shared" si="3"/>
        <v>1.794985131534091</v>
      </c>
      <c r="L41" s="43" t="s">
        <v>843</v>
      </c>
      <c r="M41" s="427" t="s">
        <v>376</v>
      </c>
      <c r="N41" s="952" t="s">
        <v>376</v>
      </c>
      <c r="O41" s="952"/>
      <c r="P41" s="741">
        <v>6066220.0312865255</v>
      </c>
      <c r="Q41" s="119" t="s">
        <v>31</v>
      </c>
      <c r="R41" s="33" t="s">
        <v>1020</v>
      </c>
      <c r="S41" s="33" t="s">
        <v>31</v>
      </c>
      <c r="T41" s="33" t="str">
        <f>VLOOKUP($E41,Tiers!A:K,10,FALSE)</f>
        <v>--</v>
      </c>
      <c r="U41" s="33" t="s">
        <v>858</v>
      </c>
      <c r="V41" s="31" t="s">
        <v>672</v>
      </c>
      <c r="W41" s="48" t="s">
        <v>824</v>
      </c>
      <c r="X41" s="48" t="s">
        <v>824</v>
      </c>
      <c r="Y41" s="48" t="s">
        <v>824</v>
      </c>
      <c r="Z41" s="48" t="s">
        <v>824</v>
      </c>
      <c r="AA41" s="408">
        <v>4</v>
      </c>
      <c r="AB41" s="408">
        <v>4</v>
      </c>
      <c r="AC41" s="281" t="s">
        <v>670</v>
      </c>
      <c r="AD41" s="284">
        <v>114</v>
      </c>
      <c r="AE41" s="424" t="s">
        <v>376</v>
      </c>
      <c r="AF41" s="48" t="s">
        <v>37</v>
      </c>
      <c r="AG41" s="56" t="s">
        <v>364</v>
      </c>
      <c r="AH41" s="32"/>
    </row>
    <row r="42" spans="3:34" x14ac:dyDescent="0.3">
      <c r="C42" s="988">
        <v>41</v>
      </c>
      <c r="D42" s="358">
        <v>115</v>
      </c>
      <c r="E42" s="358" t="s">
        <v>948</v>
      </c>
      <c r="F42" s="142" t="s">
        <v>1029</v>
      </c>
      <c r="G42" s="403" t="s">
        <v>376</v>
      </c>
      <c r="H42" s="142" t="s">
        <v>536</v>
      </c>
      <c r="I42" s="142" t="s">
        <v>1637</v>
      </c>
      <c r="J42" s="279">
        <v>2877.3665230000001</v>
      </c>
      <c r="K42" s="43">
        <f t="shared" si="3"/>
        <v>0.5449557808712121</v>
      </c>
      <c r="L42" s="43" t="s">
        <v>843</v>
      </c>
      <c r="M42" s="427" t="s">
        <v>376</v>
      </c>
      <c r="N42" s="952" t="s">
        <v>376</v>
      </c>
      <c r="O42" s="952"/>
      <c r="P42" s="741">
        <v>4855038.2275246885</v>
      </c>
      <c r="Q42" s="33" t="s">
        <v>31</v>
      </c>
      <c r="R42" s="33" t="s">
        <v>273</v>
      </c>
      <c r="S42" s="33" t="s">
        <v>31</v>
      </c>
      <c r="T42" s="33" t="str">
        <f>VLOOKUP($E42,Tiers!A:K,10,FALSE)</f>
        <v>--</v>
      </c>
      <c r="U42" s="33" t="s">
        <v>671</v>
      </c>
      <c r="V42" s="31" t="s">
        <v>1481</v>
      </c>
      <c r="W42" s="48" t="s">
        <v>824</v>
      </c>
      <c r="X42" s="48" t="s">
        <v>824</v>
      </c>
      <c r="Y42" s="48" t="s">
        <v>824</v>
      </c>
      <c r="Z42" s="48"/>
      <c r="AA42" s="408">
        <v>2</v>
      </c>
      <c r="AB42" s="408">
        <v>2</v>
      </c>
      <c r="AC42" s="281" t="s">
        <v>670</v>
      </c>
      <c r="AD42" s="284">
        <v>115</v>
      </c>
      <c r="AE42" s="424"/>
      <c r="AF42" s="48" t="s">
        <v>37</v>
      </c>
      <c r="AG42" s="56"/>
      <c r="AH42" s="32" t="s">
        <v>1031</v>
      </c>
    </row>
    <row r="43" spans="3:34" x14ac:dyDescent="0.3">
      <c r="C43" s="987">
        <v>42</v>
      </c>
      <c r="D43" s="358">
        <v>116</v>
      </c>
      <c r="E43" s="358" t="s">
        <v>949</v>
      </c>
      <c r="F43" s="142" t="s">
        <v>1036</v>
      </c>
      <c r="G43" s="403" t="s">
        <v>376</v>
      </c>
      <c r="H43" s="142" t="s">
        <v>1037</v>
      </c>
      <c r="I43" s="142" t="s">
        <v>1038</v>
      </c>
      <c r="J43" s="279">
        <v>3408.7447969999998</v>
      </c>
      <c r="K43" s="43">
        <f t="shared" si="3"/>
        <v>0.64559560549242423</v>
      </c>
      <c r="L43" s="43" t="s">
        <v>843</v>
      </c>
      <c r="M43" s="427" t="s">
        <v>376</v>
      </c>
      <c r="N43" s="952" t="s">
        <v>376</v>
      </c>
      <c r="O43" s="952"/>
      <c r="P43" s="741">
        <v>1026864.2951030476</v>
      </c>
      <c r="Q43" s="33" t="s">
        <v>57</v>
      </c>
      <c r="R43" s="33" t="s">
        <v>273</v>
      </c>
      <c r="S43" s="33" t="s">
        <v>31</v>
      </c>
      <c r="T43" s="33" t="str">
        <f>VLOOKUP($E43,Tiers!A:K,10,FALSE)</f>
        <v>--</v>
      </c>
      <c r="U43" s="33" t="s">
        <v>1039</v>
      </c>
      <c r="V43" s="31" t="s">
        <v>1642</v>
      </c>
      <c r="W43" s="48"/>
      <c r="X43" s="48"/>
      <c r="Y43" s="48"/>
      <c r="Z43" s="48"/>
      <c r="AA43" s="425" t="s">
        <v>262</v>
      </c>
      <c r="AB43" s="408" t="s">
        <v>262</v>
      </c>
      <c r="AC43" s="281" t="s">
        <v>670</v>
      </c>
      <c r="AD43" s="284">
        <v>116</v>
      </c>
      <c r="AE43" s="424"/>
      <c r="AF43" s="48" t="s">
        <v>37</v>
      </c>
      <c r="AG43" s="56"/>
      <c r="AH43" s="32"/>
    </row>
    <row r="44" spans="3:34" x14ac:dyDescent="0.3">
      <c r="C44" s="988">
        <v>43</v>
      </c>
      <c r="D44" s="358">
        <v>117</v>
      </c>
      <c r="E44" s="358" t="s">
        <v>950</v>
      </c>
      <c r="F44" s="142" t="s">
        <v>1040</v>
      </c>
      <c r="G44" s="403" t="s">
        <v>376</v>
      </c>
      <c r="H44" s="142" t="s">
        <v>1041</v>
      </c>
      <c r="I44" s="142" t="s">
        <v>1638</v>
      </c>
      <c r="J44" s="279">
        <v>10085.998083</v>
      </c>
      <c r="K44" s="43">
        <f t="shared" si="3"/>
        <v>1.9102269096590909</v>
      </c>
      <c r="L44" s="43" t="s">
        <v>843</v>
      </c>
      <c r="M44" s="427" t="s">
        <v>376</v>
      </c>
      <c r="N44" s="952" t="s">
        <v>376</v>
      </c>
      <c r="O44" s="952"/>
      <c r="P44" s="741">
        <v>2998159.4984613527</v>
      </c>
      <c r="Q44" s="33" t="s">
        <v>57</v>
      </c>
      <c r="R44" s="33" t="s">
        <v>273</v>
      </c>
      <c r="S44" s="33" t="s">
        <v>31</v>
      </c>
      <c r="T44" s="33" t="str">
        <f>VLOOKUP($E44,Tiers!A:K,10,FALSE)</f>
        <v>--</v>
      </c>
      <c r="U44" s="33" t="s">
        <v>1039</v>
      </c>
      <c r="V44" s="31" t="s">
        <v>1642</v>
      </c>
      <c r="W44" s="48"/>
      <c r="X44" s="48" t="s">
        <v>824</v>
      </c>
      <c r="Y44" s="48" t="s">
        <v>824</v>
      </c>
      <c r="Z44" s="48"/>
      <c r="AA44" s="425" t="s">
        <v>262</v>
      </c>
      <c r="AB44" s="408" t="s">
        <v>262</v>
      </c>
      <c r="AC44" s="281" t="s">
        <v>670</v>
      </c>
      <c r="AD44" s="284">
        <v>117</v>
      </c>
      <c r="AE44" s="424"/>
      <c r="AF44" s="48" t="s">
        <v>37</v>
      </c>
      <c r="AG44" s="56"/>
      <c r="AH44" s="32"/>
    </row>
    <row r="45" spans="3:34" x14ac:dyDescent="0.3">
      <c r="C45" s="987">
        <v>44</v>
      </c>
      <c r="D45" s="358">
        <v>118</v>
      </c>
      <c r="E45" s="358" t="s">
        <v>951</v>
      </c>
      <c r="F45" s="142" t="s">
        <v>1043</v>
      </c>
      <c r="G45" s="403" t="s">
        <v>376</v>
      </c>
      <c r="H45" s="142" t="s">
        <v>1044</v>
      </c>
      <c r="I45" s="142" t="s">
        <v>1045</v>
      </c>
      <c r="J45" s="279">
        <v>25368.936801</v>
      </c>
      <c r="K45" s="43">
        <f t="shared" si="3"/>
        <v>4.8047228789772731</v>
      </c>
      <c r="L45" s="43" t="s">
        <v>843</v>
      </c>
      <c r="M45" s="427" t="s">
        <v>376</v>
      </c>
      <c r="N45" s="952" t="s">
        <v>376</v>
      </c>
      <c r="O45" s="952"/>
      <c r="P45" s="741">
        <v>7480746.3722243169</v>
      </c>
      <c r="Q45" s="33" t="s">
        <v>57</v>
      </c>
      <c r="R45" s="33" t="s">
        <v>273</v>
      </c>
      <c r="S45" s="33" t="s">
        <v>31</v>
      </c>
      <c r="T45" s="33" t="str">
        <f>VLOOKUP($E45,Tiers!A:K,10,FALSE)</f>
        <v>--</v>
      </c>
      <c r="U45" s="33" t="s">
        <v>1039</v>
      </c>
      <c r="V45" s="31" t="s">
        <v>1642</v>
      </c>
      <c r="W45" s="48"/>
      <c r="X45" s="48" t="s">
        <v>824</v>
      </c>
      <c r="Y45" s="48" t="s">
        <v>824</v>
      </c>
      <c r="Z45" s="48"/>
      <c r="AA45" s="425" t="s">
        <v>262</v>
      </c>
      <c r="AB45" s="408" t="s">
        <v>262</v>
      </c>
      <c r="AC45" s="281" t="s">
        <v>670</v>
      </c>
      <c r="AD45" s="284">
        <v>118</v>
      </c>
      <c r="AE45" s="424"/>
      <c r="AF45" s="48" t="s">
        <v>37</v>
      </c>
      <c r="AG45" s="56"/>
      <c r="AH45" s="32"/>
    </row>
    <row r="46" spans="3:34" x14ac:dyDescent="0.3">
      <c r="C46" s="988">
        <v>45</v>
      </c>
      <c r="D46" s="358">
        <v>119</v>
      </c>
      <c r="E46" s="358" t="s">
        <v>952</v>
      </c>
      <c r="F46" s="142" t="s">
        <v>1078</v>
      </c>
      <c r="G46" s="403" t="s">
        <v>376</v>
      </c>
      <c r="H46" s="142" t="s">
        <v>1075</v>
      </c>
      <c r="I46" s="142" t="s">
        <v>1076</v>
      </c>
      <c r="J46" s="279">
        <v>9800</v>
      </c>
      <c r="K46" s="43">
        <f t="shared" si="3"/>
        <v>1.856060606060606</v>
      </c>
      <c r="L46" s="43" t="s">
        <v>843</v>
      </c>
      <c r="M46" s="427" t="s">
        <v>376</v>
      </c>
      <c r="N46" s="952" t="s">
        <v>376</v>
      </c>
      <c r="O46" s="952"/>
      <c r="P46" s="741">
        <v>7658516.2500000009</v>
      </c>
      <c r="Q46" s="33" t="s">
        <v>57</v>
      </c>
      <c r="R46" s="33" t="s">
        <v>273</v>
      </c>
      <c r="S46" s="33" t="s">
        <v>31</v>
      </c>
      <c r="T46" s="33" t="str">
        <f>VLOOKUP($E46,Tiers!A:K,10,FALSE)</f>
        <v>--</v>
      </c>
      <c r="U46" s="33" t="s">
        <v>1039</v>
      </c>
      <c r="V46" s="31" t="s">
        <v>1642</v>
      </c>
      <c r="W46" s="48"/>
      <c r="X46" s="48" t="s">
        <v>824</v>
      </c>
      <c r="Y46" s="48" t="s">
        <v>824</v>
      </c>
      <c r="Z46" s="48"/>
      <c r="AA46" s="425" t="s">
        <v>262</v>
      </c>
      <c r="AB46" s="408" t="s">
        <v>262</v>
      </c>
      <c r="AC46" s="281" t="s">
        <v>670</v>
      </c>
      <c r="AD46" s="284">
        <v>119</v>
      </c>
      <c r="AE46" s="424"/>
      <c r="AF46" s="48" t="s">
        <v>37</v>
      </c>
      <c r="AG46" s="56"/>
      <c r="AH46" s="32" t="s">
        <v>1077</v>
      </c>
    </row>
    <row r="47" spans="3:34" x14ac:dyDescent="0.3">
      <c r="C47" s="987">
        <v>46</v>
      </c>
      <c r="D47" s="358">
        <v>120</v>
      </c>
      <c r="E47" s="358" t="s">
        <v>953</v>
      </c>
      <c r="F47" s="142" t="s">
        <v>1079</v>
      </c>
      <c r="G47" s="403" t="s">
        <v>376</v>
      </c>
      <c r="H47" s="142" t="s">
        <v>1080</v>
      </c>
      <c r="I47" s="142" t="s">
        <v>1639</v>
      </c>
      <c r="J47" s="279">
        <v>22000</v>
      </c>
      <c r="K47" s="43">
        <f t="shared" si="3"/>
        <v>4.166666666666667</v>
      </c>
      <c r="L47" s="43" t="s">
        <v>843</v>
      </c>
      <c r="M47" s="427" t="s">
        <v>376</v>
      </c>
      <c r="N47" s="952" t="s">
        <v>376</v>
      </c>
      <c r="O47" s="952"/>
      <c r="P47" s="741">
        <v>13151961.9</v>
      </c>
      <c r="Q47" s="33" t="s">
        <v>57</v>
      </c>
      <c r="R47" s="33" t="s">
        <v>273</v>
      </c>
      <c r="S47" s="33" t="s">
        <v>31</v>
      </c>
      <c r="T47" s="33" t="str">
        <f>VLOOKUP($E47,Tiers!A:K,10,FALSE)</f>
        <v>--</v>
      </c>
      <c r="U47" s="33" t="s">
        <v>1039</v>
      </c>
      <c r="V47" s="31" t="s">
        <v>1642</v>
      </c>
      <c r="W47" s="48"/>
      <c r="X47" s="48" t="s">
        <v>824</v>
      </c>
      <c r="Y47" s="48" t="s">
        <v>824</v>
      </c>
      <c r="Z47" s="48"/>
      <c r="AA47" s="408" t="s">
        <v>262</v>
      </c>
      <c r="AB47" s="408" t="s">
        <v>262</v>
      </c>
      <c r="AC47" s="281" t="s">
        <v>670</v>
      </c>
      <c r="AD47" s="284">
        <v>120</v>
      </c>
      <c r="AE47" s="424"/>
      <c r="AF47" s="48" t="s">
        <v>37</v>
      </c>
      <c r="AG47" s="56"/>
      <c r="AH47" s="32" t="s">
        <v>1082</v>
      </c>
    </row>
    <row r="48" spans="3:34" x14ac:dyDescent="0.3">
      <c r="C48" s="988">
        <v>47</v>
      </c>
      <c r="D48" s="358">
        <v>121</v>
      </c>
      <c r="E48" s="358" t="s">
        <v>954</v>
      </c>
      <c r="F48" s="142" t="s">
        <v>1753</v>
      </c>
      <c r="G48" s="403" t="s">
        <v>376</v>
      </c>
      <c r="H48" s="142" t="s">
        <v>736</v>
      </c>
      <c r="I48" s="142" t="s">
        <v>1097</v>
      </c>
      <c r="J48" s="279">
        <v>11933.54566</v>
      </c>
      <c r="K48" s="43">
        <f t="shared" si="3"/>
        <v>2.2601412234848484</v>
      </c>
      <c r="L48" s="43" t="s">
        <v>843</v>
      </c>
      <c r="M48" s="427" t="s">
        <v>376</v>
      </c>
      <c r="N48" s="952" t="s">
        <v>376</v>
      </c>
      <c r="O48" s="952"/>
      <c r="P48" s="741">
        <v>7343822.3163592322</v>
      </c>
      <c r="Q48" s="33" t="s">
        <v>57</v>
      </c>
      <c r="R48" s="33" t="s">
        <v>273</v>
      </c>
      <c r="S48" s="33" t="s">
        <v>31</v>
      </c>
      <c r="T48" s="33" t="str">
        <f>VLOOKUP($E48,Tiers!A:K,10,FALSE)</f>
        <v>--</v>
      </c>
      <c r="U48" s="33" t="s">
        <v>858</v>
      </c>
      <c r="V48" s="31" t="s">
        <v>1481</v>
      </c>
      <c r="W48" s="48"/>
      <c r="X48" s="48" t="s">
        <v>824</v>
      </c>
      <c r="Y48" s="48" t="s">
        <v>824</v>
      </c>
      <c r="Z48" s="48"/>
      <c r="AA48" s="408">
        <v>2</v>
      </c>
      <c r="AB48" s="408">
        <v>2</v>
      </c>
      <c r="AC48" s="281" t="s">
        <v>670</v>
      </c>
      <c r="AD48" s="284">
        <v>121</v>
      </c>
      <c r="AE48" s="424"/>
      <c r="AF48" s="48" t="s">
        <v>37</v>
      </c>
      <c r="AG48" s="56"/>
      <c r="AH48" s="32" t="s">
        <v>1098</v>
      </c>
    </row>
    <row r="49" spans="2:34" x14ac:dyDescent="0.3">
      <c r="C49" s="987">
        <v>48</v>
      </c>
      <c r="D49" s="358">
        <v>122</v>
      </c>
      <c r="E49" s="358" t="s">
        <v>1360</v>
      </c>
      <c r="F49" s="142" t="s">
        <v>1362</v>
      </c>
      <c r="G49" s="403" t="s">
        <v>376</v>
      </c>
      <c r="H49" s="142" t="s">
        <v>782</v>
      </c>
      <c r="I49" s="142" t="s">
        <v>871</v>
      </c>
      <c r="J49" s="279">
        <v>2243.614251</v>
      </c>
      <c r="K49" s="43">
        <f t="shared" ref="K49:K52" si="6">J49/5280</f>
        <v>0.42492694147727272</v>
      </c>
      <c r="L49" s="43" t="s">
        <v>843</v>
      </c>
      <c r="M49" s="427" t="s">
        <v>376</v>
      </c>
      <c r="N49" s="952">
        <v>2500000</v>
      </c>
      <c r="O49" s="966"/>
      <c r="P49" s="1049">
        <v>2500000</v>
      </c>
      <c r="Q49" s="33" t="s">
        <v>57</v>
      </c>
      <c r="R49" s="33" t="s">
        <v>273</v>
      </c>
      <c r="S49" s="33" t="s">
        <v>31</v>
      </c>
      <c r="T49" s="33" t="str">
        <f>VLOOKUP($E49,Tiers!A:K,10,FALSE)</f>
        <v>--</v>
      </c>
      <c r="U49" s="33" t="s">
        <v>1039</v>
      </c>
      <c r="V49" s="31" t="s">
        <v>1642</v>
      </c>
      <c r="W49" s="48"/>
      <c r="X49" s="48" t="s">
        <v>824</v>
      </c>
      <c r="Y49" s="48" t="s">
        <v>824</v>
      </c>
      <c r="Z49" s="48"/>
      <c r="AA49" s="408" t="s">
        <v>262</v>
      </c>
      <c r="AB49" s="408" t="s">
        <v>262</v>
      </c>
      <c r="AC49" s="281" t="s">
        <v>670</v>
      </c>
      <c r="AD49" s="284">
        <v>122</v>
      </c>
      <c r="AE49" s="424"/>
      <c r="AF49" s="48" t="s">
        <v>37</v>
      </c>
      <c r="AG49" s="56"/>
      <c r="AH49" s="32" t="s">
        <v>1361</v>
      </c>
    </row>
    <row r="50" spans="2:34" x14ac:dyDescent="0.3">
      <c r="C50" s="988">
        <v>49</v>
      </c>
      <c r="D50" s="358">
        <v>123</v>
      </c>
      <c r="E50" s="358" t="s">
        <v>1379</v>
      </c>
      <c r="F50" s="142" t="s">
        <v>1380</v>
      </c>
      <c r="G50" s="403" t="s">
        <v>376</v>
      </c>
      <c r="H50" s="142" t="s">
        <v>618</v>
      </c>
      <c r="I50" s="142" t="s">
        <v>1381</v>
      </c>
      <c r="J50" s="279">
        <v>1437.402094</v>
      </c>
      <c r="K50" s="43">
        <f t="shared" si="6"/>
        <v>0.27223524507575758</v>
      </c>
      <c r="L50" s="43" t="s">
        <v>843</v>
      </c>
      <c r="M50" s="427" t="s">
        <v>376</v>
      </c>
      <c r="N50" s="952"/>
      <c r="O50" s="952"/>
      <c r="P50" s="741">
        <v>421316.19492484495</v>
      </c>
      <c r="Q50" s="33" t="s">
        <v>57</v>
      </c>
      <c r="R50" s="33" t="s">
        <v>273</v>
      </c>
      <c r="S50" s="33" t="s">
        <v>31</v>
      </c>
      <c r="T50" s="33" t="str">
        <f>VLOOKUP($E50,Tiers!A:K,10,FALSE)</f>
        <v>--</v>
      </c>
      <c r="U50" s="33" t="s">
        <v>1039</v>
      </c>
      <c r="V50" s="31" t="s">
        <v>1642</v>
      </c>
      <c r="W50" s="48"/>
      <c r="X50" s="48" t="s">
        <v>824</v>
      </c>
      <c r="Y50" s="48" t="s">
        <v>824</v>
      </c>
      <c r="Z50" s="48"/>
      <c r="AA50" s="408" t="s">
        <v>262</v>
      </c>
      <c r="AB50" s="408" t="s">
        <v>262</v>
      </c>
      <c r="AC50" s="281" t="s">
        <v>670</v>
      </c>
      <c r="AD50" s="284">
        <v>123</v>
      </c>
      <c r="AE50" s="424"/>
      <c r="AF50" s="48" t="s">
        <v>37</v>
      </c>
      <c r="AG50" s="56"/>
      <c r="AH50" s="32" t="s">
        <v>1382</v>
      </c>
    </row>
    <row r="51" spans="2:34" x14ac:dyDescent="0.3">
      <c r="C51" s="987">
        <v>50</v>
      </c>
      <c r="D51" s="358">
        <v>124</v>
      </c>
      <c r="E51" s="358" t="s">
        <v>1388</v>
      </c>
      <c r="F51" s="142" t="s">
        <v>1383</v>
      </c>
      <c r="G51" s="403" t="s">
        <v>376</v>
      </c>
      <c r="H51" s="142" t="s">
        <v>1384</v>
      </c>
      <c r="I51" s="142" t="s">
        <v>1385</v>
      </c>
      <c r="J51" s="279">
        <v>1413.4102419999999</v>
      </c>
      <c r="K51" s="43">
        <f t="shared" si="6"/>
        <v>0.26769133371212117</v>
      </c>
      <c r="L51" s="43" t="s">
        <v>843</v>
      </c>
      <c r="M51" s="427" t="s">
        <v>376</v>
      </c>
      <c r="N51" s="952"/>
      <c r="O51" s="952"/>
      <c r="P51" s="741">
        <v>614606.30155918107</v>
      </c>
      <c r="Q51" s="33" t="s">
        <v>57</v>
      </c>
      <c r="R51" s="33" t="s">
        <v>273</v>
      </c>
      <c r="S51" s="33" t="s">
        <v>31</v>
      </c>
      <c r="T51" s="33" t="str">
        <f>VLOOKUP($E51,Tiers!A:K,10,FALSE)</f>
        <v>--</v>
      </c>
      <c r="U51" s="33" t="s">
        <v>1386</v>
      </c>
      <c r="V51" s="31" t="s">
        <v>1643</v>
      </c>
      <c r="W51" s="48"/>
      <c r="X51" s="48" t="s">
        <v>824</v>
      </c>
      <c r="Y51" s="48" t="s">
        <v>824</v>
      </c>
      <c r="Z51" s="48"/>
      <c r="AA51" s="408" t="s">
        <v>262</v>
      </c>
      <c r="AB51" s="408" t="s">
        <v>262</v>
      </c>
      <c r="AC51" s="281" t="s">
        <v>670</v>
      </c>
      <c r="AD51" s="284">
        <v>124</v>
      </c>
      <c r="AE51" s="424"/>
      <c r="AF51" s="48" t="s">
        <v>37</v>
      </c>
      <c r="AG51" s="56"/>
      <c r="AH51" s="32" t="s">
        <v>1387</v>
      </c>
    </row>
    <row r="52" spans="2:34" x14ac:dyDescent="0.3">
      <c r="B52" s="1006" t="s">
        <v>1444</v>
      </c>
      <c r="C52" s="987">
        <v>51</v>
      </c>
      <c r="D52" s="358">
        <v>125</v>
      </c>
      <c r="E52" s="358" t="s">
        <v>1389</v>
      </c>
      <c r="F52" s="142" t="s">
        <v>1390</v>
      </c>
      <c r="G52" s="403" t="s">
        <v>376</v>
      </c>
      <c r="H52" s="142" t="s">
        <v>1391</v>
      </c>
      <c r="I52" s="142" t="s">
        <v>475</v>
      </c>
      <c r="J52" s="279">
        <v>8851.5389840000007</v>
      </c>
      <c r="K52" s="43">
        <f t="shared" si="6"/>
        <v>1.676427837878788</v>
      </c>
      <c r="L52" s="43" t="s">
        <v>843</v>
      </c>
      <c r="M52" s="427" t="s">
        <v>376</v>
      </c>
      <c r="N52" s="952"/>
      <c r="O52" s="952"/>
      <c r="P52" s="741">
        <v>2658435.0032374202</v>
      </c>
      <c r="Q52" s="33" t="s">
        <v>57</v>
      </c>
      <c r="R52" s="33" t="s">
        <v>273</v>
      </c>
      <c r="S52" s="33" t="s">
        <v>31</v>
      </c>
      <c r="T52" s="33" t="str">
        <f>VLOOKUP($E52,Tiers!A:K,10,FALSE)</f>
        <v>--</v>
      </c>
      <c r="U52" s="33" t="s">
        <v>858</v>
      </c>
      <c r="V52" s="31" t="s">
        <v>1643</v>
      </c>
      <c r="W52" s="48"/>
      <c r="X52" s="48" t="s">
        <v>824</v>
      </c>
      <c r="Y52" s="48" t="s">
        <v>824</v>
      </c>
      <c r="Z52" s="48"/>
      <c r="AA52" s="408" t="s">
        <v>262</v>
      </c>
      <c r="AB52" s="408" t="s">
        <v>262</v>
      </c>
      <c r="AC52" s="281" t="s">
        <v>670</v>
      </c>
      <c r="AD52" s="284">
        <v>125</v>
      </c>
      <c r="AE52" s="424"/>
      <c r="AF52" s="48" t="s">
        <v>37</v>
      </c>
      <c r="AG52" s="56"/>
      <c r="AH52" s="32" t="s">
        <v>1392</v>
      </c>
    </row>
    <row r="53" spans="2:34" ht="14.4" thickBot="1" x14ac:dyDescent="0.35">
      <c r="B53" s="1006" t="s">
        <v>1444</v>
      </c>
      <c r="C53" s="987">
        <v>51</v>
      </c>
      <c r="D53" s="358">
        <v>126</v>
      </c>
      <c r="E53" s="358" t="s">
        <v>1471</v>
      </c>
      <c r="F53" s="142" t="s">
        <v>1473</v>
      </c>
      <c r="G53" s="403" t="s">
        <v>376</v>
      </c>
      <c r="H53" s="142" t="s">
        <v>1045</v>
      </c>
      <c r="I53" s="142" t="s">
        <v>1009</v>
      </c>
      <c r="J53" s="279">
        <v>3451.022802</v>
      </c>
      <c r="K53" s="43">
        <f t="shared" si="3"/>
        <v>0.65360280340909094</v>
      </c>
      <c r="L53" s="43" t="s">
        <v>843</v>
      </c>
      <c r="M53" s="427" t="s">
        <v>376</v>
      </c>
      <c r="N53" s="952"/>
      <c r="O53" s="967"/>
      <c r="P53" s="742">
        <v>2296826.7659122501</v>
      </c>
      <c r="Q53" s="33" t="s">
        <v>57</v>
      </c>
      <c r="R53" s="33" t="s">
        <v>273</v>
      </c>
      <c r="S53" s="33" t="s">
        <v>31</v>
      </c>
      <c r="T53" s="33" t="str">
        <f>VLOOKUP($E53,Tiers!A:K,10,FALSE)</f>
        <v>--</v>
      </c>
      <c r="U53" s="33" t="s">
        <v>858</v>
      </c>
      <c r="V53" s="31" t="s">
        <v>1643</v>
      </c>
      <c r="W53" s="48"/>
      <c r="X53" s="48" t="s">
        <v>824</v>
      </c>
      <c r="Y53" s="48" t="s">
        <v>824</v>
      </c>
      <c r="Z53" s="48"/>
      <c r="AA53" s="408" t="s">
        <v>262</v>
      </c>
      <c r="AB53" s="408" t="s">
        <v>262</v>
      </c>
      <c r="AC53" s="281" t="s">
        <v>670</v>
      </c>
      <c r="AD53" s="284">
        <v>126</v>
      </c>
      <c r="AE53" s="424"/>
      <c r="AF53" s="48" t="s">
        <v>37</v>
      </c>
      <c r="AG53" s="56"/>
      <c r="AH53" s="32" t="s">
        <v>1472</v>
      </c>
    </row>
    <row r="54" spans="2:34" x14ac:dyDescent="0.3">
      <c r="B54" s="1001" t="s">
        <v>938</v>
      </c>
      <c r="C54" s="987">
        <v>100</v>
      </c>
      <c r="D54" s="422">
        <f t="shared" si="5"/>
        <v>1</v>
      </c>
      <c r="E54" s="422" t="s">
        <v>938</v>
      </c>
      <c r="F54" s="38" t="s">
        <v>337</v>
      </c>
      <c r="G54" s="38" t="s">
        <v>411</v>
      </c>
      <c r="H54" s="141" t="s">
        <v>1640</v>
      </c>
      <c r="I54" s="1119" t="s">
        <v>376</v>
      </c>
      <c r="J54" s="485" t="s">
        <v>376</v>
      </c>
      <c r="K54" s="486" t="s">
        <v>376</v>
      </c>
      <c r="L54" s="41" t="s">
        <v>842</v>
      </c>
      <c r="M54" s="423">
        <v>5</v>
      </c>
      <c r="N54" s="968">
        <v>18000000</v>
      </c>
      <c r="O54" s="962">
        <v>1.1399999999999999</v>
      </c>
      <c r="P54" s="150">
        <v>20520000</v>
      </c>
      <c r="Q54" s="39" t="s">
        <v>31</v>
      </c>
      <c r="R54" s="39" t="s">
        <v>847</v>
      </c>
      <c r="S54" s="39" t="s">
        <v>31</v>
      </c>
      <c r="T54" s="39" t="str">
        <f>VLOOKUP($E54,Tiers!A:K,10,FALSE)</f>
        <v>--</v>
      </c>
      <c r="U54" s="39" t="s">
        <v>999</v>
      </c>
      <c r="V54" s="51" t="s">
        <v>573</v>
      </c>
      <c r="W54" s="47"/>
      <c r="X54" s="47"/>
      <c r="Y54" s="47"/>
      <c r="Z54" s="47"/>
      <c r="AA54" s="409"/>
      <c r="AB54" s="409"/>
      <c r="AC54" s="282"/>
      <c r="AD54" s="285">
        <v>1</v>
      </c>
      <c r="AE54" s="39" t="s">
        <v>339</v>
      </c>
      <c r="AF54" s="49" t="s">
        <v>360</v>
      </c>
      <c r="AG54" s="55"/>
      <c r="AH54" s="38" t="s">
        <v>272</v>
      </c>
    </row>
    <row r="55" spans="2:34" x14ac:dyDescent="0.3">
      <c r="B55" s="1003" t="s">
        <v>939</v>
      </c>
      <c r="C55" s="987">
        <v>102</v>
      </c>
      <c r="D55" s="358">
        <v>2</v>
      </c>
      <c r="E55" s="358" t="s">
        <v>1099</v>
      </c>
      <c r="F55" s="32" t="s">
        <v>1620</v>
      </c>
      <c r="G55" s="411" t="s">
        <v>376</v>
      </c>
      <c r="H55" s="142" t="s">
        <v>1054</v>
      </c>
      <c r="I55" s="403" t="s">
        <v>376</v>
      </c>
      <c r="J55" s="483" t="s">
        <v>376</v>
      </c>
      <c r="K55" s="484" t="s">
        <v>376</v>
      </c>
      <c r="L55" s="43" t="s">
        <v>843</v>
      </c>
      <c r="M55" s="427" t="s">
        <v>376</v>
      </c>
      <c r="N55" s="952" t="s">
        <v>376</v>
      </c>
      <c r="O55" s="952"/>
      <c r="P55" s="148">
        <v>250000</v>
      </c>
      <c r="Q55" s="33" t="s">
        <v>31</v>
      </c>
      <c r="R55" s="33" t="s">
        <v>847</v>
      </c>
      <c r="S55" s="33" t="s">
        <v>31</v>
      </c>
      <c r="T55" s="33" t="e">
        <f>VLOOKUP($E55,Tiers!A:K,10,FALSE)</f>
        <v>#N/A</v>
      </c>
      <c r="U55" s="33" t="s">
        <v>671</v>
      </c>
      <c r="V55" s="31" t="s">
        <v>573</v>
      </c>
      <c r="W55" s="48" t="s">
        <v>824</v>
      </c>
      <c r="X55" s="48" t="s">
        <v>824</v>
      </c>
      <c r="Y55" s="48" t="s">
        <v>824</v>
      </c>
      <c r="Z55" s="48" t="s">
        <v>824</v>
      </c>
      <c r="AA55" s="408" t="s">
        <v>262</v>
      </c>
      <c r="AB55" s="408" t="s">
        <v>262</v>
      </c>
      <c r="AC55" s="281" t="s">
        <v>670</v>
      </c>
      <c r="AD55" s="284">
        <v>3</v>
      </c>
      <c r="AE55" s="33"/>
      <c r="AF55" s="50" t="s">
        <v>360</v>
      </c>
      <c r="AG55" s="56"/>
      <c r="AH55" s="32" t="s">
        <v>1438</v>
      </c>
    </row>
    <row r="56" spans="2:34" x14ac:dyDescent="0.3">
      <c r="B56" s="1002" t="s">
        <v>1099</v>
      </c>
      <c r="C56" s="987">
        <v>101</v>
      </c>
      <c r="D56" s="524">
        <v>2</v>
      </c>
      <c r="E56" s="1000" t="s">
        <v>1621</v>
      </c>
      <c r="F56" s="35" t="s">
        <v>1100</v>
      </c>
      <c r="G56" s="35" t="s">
        <v>747</v>
      </c>
      <c r="H56" s="120" t="s">
        <v>614</v>
      </c>
      <c r="I56" s="531" t="s">
        <v>1480</v>
      </c>
      <c r="J56" s="525">
        <v>10294.405185</v>
      </c>
      <c r="K56" s="43">
        <f t="shared" ref="K56:K68" si="7">J56/5280</f>
        <v>1.9496979517045454</v>
      </c>
      <c r="L56" s="44" t="s">
        <v>843</v>
      </c>
      <c r="M56" s="477" t="s">
        <v>376</v>
      </c>
      <c r="N56" s="965" t="s">
        <v>376</v>
      </c>
      <c r="O56" s="965"/>
      <c r="P56" s="741">
        <v>250000</v>
      </c>
      <c r="Q56" s="119" t="s">
        <v>31</v>
      </c>
      <c r="R56" s="119" t="s">
        <v>847</v>
      </c>
      <c r="S56" s="33" t="s">
        <v>31</v>
      </c>
      <c r="T56" s="33" t="e">
        <f>VLOOKUP($E56,Tiers!A:K,10,FALSE)</f>
        <v>#N/A</v>
      </c>
      <c r="U56" s="119" t="s">
        <v>858</v>
      </c>
      <c r="V56" s="54" t="s">
        <v>573</v>
      </c>
      <c r="W56" s="526" t="s">
        <v>824</v>
      </c>
      <c r="X56" s="526" t="s">
        <v>824</v>
      </c>
      <c r="Y56" s="526" t="s">
        <v>824</v>
      </c>
      <c r="Z56" s="526" t="s">
        <v>824</v>
      </c>
      <c r="AA56" s="527">
        <v>3</v>
      </c>
      <c r="AB56" s="527">
        <v>3</v>
      </c>
      <c r="AC56" s="528" t="s">
        <v>670</v>
      </c>
      <c r="AD56" s="529">
        <v>2</v>
      </c>
      <c r="AE56" s="119"/>
      <c r="AF56" s="50" t="s">
        <v>360</v>
      </c>
      <c r="AG56" s="530"/>
      <c r="AH56" s="35"/>
    </row>
    <row r="57" spans="2:34" x14ac:dyDescent="0.3">
      <c r="B57" s="1003" t="s">
        <v>1274</v>
      </c>
      <c r="C57" s="987">
        <v>111</v>
      </c>
      <c r="D57" s="524">
        <v>3</v>
      </c>
      <c r="E57" s="358" t="s">
        <v>939</v>
      </c>
      <c r="F57" s="32" t="s">
        <v>1276</v>
      </c>
      <c r="G57" s="411" t="s">
        <v>376</v>
      </c>
      <c r="H57" s="142" t="s">
        <v>1280</v>
      </c>
      <c r="I57" s="403" t="s">
        <v>376</v>
      </c>
      <c r="J57" s="279">
        <v>0</v>
      </c>
      <c r="K57" s="43">
        <f>J57/5280</f>
        <v>0</v>
      </c>
      <c r="L57" s="43" t="s">
        <v>843</v>
      </c>
      <c r="M57" s="427" t="s">
        <v>376</v>
      </c>
      <c r="N57" s="952" t="s">
        <v>376</v>
      </c>
      <c r="O57" s="952"/>
      <c r="P57" s="148">
        <v>250000</v>
      </c>
      <c r="Q57" s="33" t="s">
        <v>31</v>
      </c>
      <c r="R57" s="33" t="s">
        <v>847</v>
      </c>
      <c r="S57" s="33" t="s">
        <v>31</v>
      </c>
      <c r="T57" s="33" t="e">
        <f>VLOOKUP($E57,Tiers!A:K,10,FALSE)</f>
        <v>#N/A</v>
      </c>
      <c r="U57" s="33" t="s">
        <v>669</v>
      </c>
      <c r="V57" s="54" t="s">
        <v>573</v>
      </c>
      <c r="W57" s="48" t="s">
        <v>824</v>
      </c>
      <c r="X57" s="48" t="s">
        <v>824</v>
      </c>
      <c r="Y57" s="48" t="s">
        <v>824</v>
      </c>
      <c r="Z57" s="48"/>
      <c r="AA57" s="408" t="s">
        <v>262</v>
      </c>
      <c r="AB57" s="408" t="s">
        <v>262</v>
      </c>
      <c r="AC57" s="281" t="s">
        <v>670</v>
      </c>
      <c r="AD57" s="284">
        <v>12</v>
      </c>
      <c r="AE57" s="33"/>
      <c r="AF57" s="50" t="s">
        <v>360</v>
      </c>
      <c r="AG57" s="56" t="s">
        <v>364</v>
      </c>
      <c r="AH57" s="32" t="s">
        <v>347</v>
      </c>
    </row>
    <row r="58" spans="2:34" x14ac:dyDescent="0.3">
      <c r="B58" s="1003" t="s">
        <v>1275</v>
      </c>
      <c r="C58" s="987">
        <v>112</v>
      </c>
      <c r="D58" s="358">
        <v>4</v>
      </c>
      <c r="E58" s="358" t="s">
        <v>940</v>
      </c>
      <c r="F58" s="32" t="s">
        <v>1277</v>
      </c>
      <c r="G58" s="411" t="s">
        <v>376</v>
      </c>
      <c r="H58" s="142" t="s">
        <v>1278</v>
      </c>
      <c r="I58" s="142" t="s">
        <v>1279</v>
      </c>
      <c r="J58" s="279">
        <v>0</v>
      </c>
      <c r="K58" s="43">
        <f>J58/5280</f>
        <v>0</v>
      </c>
      <c r="L58" s="43" t="s">
        <v>843</v>
      </c>
      <c r="M58" s="427" t="s">
        <v>376</v>
      </c>
      <c r="N58" s="952" t="s">
        <v>376</v>
      </c>
      <c r="O58" s="952"/>
      <c r="P58" s="148">
        <v>250000</v>
      </c>
      <c r="Q58" s="33" t="s">
        <v>31</v>
      </c>
      <c r="R58" s="33" t="s">
        <v>847</v>
      </c>
      <c r="S58" s="33" t="s">
        <v>31</v>
      </c>
      <c r="T58" s="33" t="e">
        <f>VLOOKUP($E58,Tiers!A:K,10,FALSE)</f>
        <v>#N/A</v>
      </c>
      <c r="U58" s="33" t="s">
        <v>999</v>
      </c>
      <c r="V58" s="54" t="s">
        <v>573</v>
      </c>
      <c r="W58" s="48" t="s">
        <v>824</v>
      </c>
      <c r="X58" s="48" t="s">
        <v>824</v>
      </c>
      <c r="Y58" s="48" t="s">
        <v>824</v>
      </c>
      <c r="Z58" s="48" t="s">
        <v>824</v>
      </c>
      <c r="AA58" s="408" t="s">
        <v>262</v>
      </c>
      <c r="AB58" s="408" t="s">
        <v>262</v>
      </c>
      <c r="AC58" s="281" t="s">
        <v>670</v>
      </c>
      <c r="AD58" s="284">
        <v>13</v>
      </c>
      <c r="AE58" s="33"/>
      <c r="AF58" s="50" t="s">
        <v>360</v>
      </c>
      <c r="AG58" s="56" t="s">
        <v>364</v>
      </c>
      <c r="AH58" s="32" t="s">
        <v>347</v>
      </c>
    </row>
    <row r="59" spans="2:34" x14ac:dyDescent="0.3">
      <c r="B59" s="1003" t="s">
        <v>940</v>
      </c>
      <c r="C59" s="987">
        <v>103</v>
      </c>
      <c r="D59" s="524">
        <v>5</v>
      </c>
      <c r="E59" s="358" t="s">
        <v>941</v>
      </c>
      <c r="F59" s="32" t="s">
        <v>350</v>
      </c>
      <c r="G59" s="411" t="s">
        <v>376</v>
      </c>
      <c r="H59" s="142" t="s">
        <v>868</v>
      </c>
      <c r="I59" s="142" t="s">
        <v>614</v>
      </c>
      <c r="J59" s="279">
        <v>2518.9222</v>
      </c>
      <c r="K59" s="43">
        <f t="shared" si="7"/>
        <v>0.47706859848484851</v>
      </c>
      <c r="L59" s="43" t="s">
        <v>842</v>
      </c>
      <c r="M59" s="405">
        <v>24</v>
      </c>
      <c r="N59" s="957">
        <v>1000000</v>
      </c>
      <c r="O59" s="958"/>
      <c r="P59" s="741">
        <v>1758925.9734750001</v>
      </c>
      <c r="Q59" s="33" t="s">
        <v>57</v>
      </c>
      <c r="R59" s="33" t="s">
        <v>343</v>
      </c>
      <c r="S59" s="33" t="s">
        <v>31</v>
      </c>
      <c r="T59" s="33" t="str">
        <f>VLOOKUP($E59,Tiers!A:K,10,FALSE)</f>
        <v>Tier 4</v>
      </c>
      <c r="U59" s="33" t="s">
        <v>858</v>
      </c>
      <c r="V59" s="31" t="s">
        <v>1642</v>
      </c>
      <c r="W59" s="48"/>
      <c r="X59" s="48" t="s">
        <v>824</v>
      </c>
      <c r="Y59" s="48" t="s">
        <v>824</v>
      </c>
      <c r="Z59" s="48"/>
      <c r="AA59" s="408" t="s">
        <v>262</v>
      </c>
      <c r="AB59" s="408" t="s">
        <v>262</v>
      </c>
      <c r="AC59" s="281" t="s">
        <v>670</v>
      </c>
      <c r="AD59" s="284">
        <v>4</v>
      </c>
      <c r="AE59" s="33" t="s">
        <v>351</v>
      </c>
      <c r="AF59" s="50" t="s">
        <v>360</v>
      </c>
      <c r="AG59" s="56" t="s">
        <v>364</v>
      </c>
      <c r="AH59" s="32" t="s">
        <v>279</v>
      </c>
    </row>
    <row r="60" spans="2:34" x14ac:dyDescent="0.3">
      <c r="B60" s="1003" t="s">
        <v>941</v>
      </c>
      <c r="C60" s="987">
        <v>104</v>
      </c>
      <c r="D60" s="358">
        <v>6</v>
      </c>
      <c r="E60" s="358" t="s">
        <v>1131</v>
      </c>
      <c r="F60" s="32" t="s">
        <v>1648</v>
      </c>
      <c r="G60" s="411" t="s">
        <v>376</v>
      </c>
      <c r="H60" s="142" t="s">
        <v>1623</v>
      </c>
      <c r="I60" s="142" t="s">
        <v>878</v>
      </c>
      <c r="J60" s="279">
        <f>2099.087836+1502.456774</f>
        <v>3601.5446099999999</v>
      </c>
      <c r="K60" s="43">
        <f t="shared" si="7"/>
        <v>0.68211072159090913</v>
      </c>
      <c r="L60" s="43" t="s">
        <v>842</v>
      </c>
      <c r="M60" s="405">
        <v>36</v>
      </c>
      <c r="N60" s="957">
        <v>17000000</v>
      </c>
      <c r="O60" s="958"/>
      <c r="P60" s="741">
        <v>13383933.204375001</v>
      </c>
      <c r="Q60" s="33" t="s">
        <v>31</v>
      </c>
      <c r="R60" s="33" t="s">
        <v>343</v>
      </c>
      <c r="S60" s="33" t="s">
        <v>31</v>
      </c>
      <c r="T60" s="33" t="str">
        <f>VLOOKUP($E60,Tiers!A:K,10,FALSE)</f>
        <v>Tier 4</v>
      </c>
      <c r="U60" s="33" t="s">
        <v>858</v>
      </c>
      <c r="V60" s="31" t="s">
        <v>343</v>
      </c>
      <c r="W60" s="48" t="s">
        <v>824</v>
      </c>
      <c r="X60" s="48"/>
      <c r="Y60" s="48"/>
      <c r="Z60" s="48"/>
      <c r="AA60" s="408" t="s">
        <v>262</v>
      </c>
      <c r="AB60" s="408" t="s">
        <v>262</v>
      </c>
      <c r="AC60" s="281" t="s">
        <v>779</v>
      </c>
      <c r="AD60" s="284">
        <v>5</v>
      </c>
      <c r="AE60" s="33" t="s">
        <v>355</v>
      </c>
      <c r="AF60" s="50" t="s">
        <v>360</v>
      </c>
      <c r="AG60" s="56"/>
      <c r="AH60" s="32" t="s">
        <v>279</v>
      </c>
    </row>
    <row r="61" spans="2:34" x14ac:dyDescent="0.3">
      <c r="B61" s="1003" t="s">
        <v>1131</v>
      </c>
      <c r="C61" s="987">
        <v>105</v>
      </c>
      <c r="D61" s="524">
        <v>7</v>
      </c>
      <c r="E61" s="358" t="s">
        <v>942</v>
      </c>
      <c r="F61" s="32" t="s">
        <v>1647</v>
      </c>
      <c r="G61" s="411" t="s">
        <v>376</v>
      </c>
      <c r="H61" s="142" t="s">
        <v>1032</v>
      </c>
      <c r="I61" s="142" t="s">
        <v>1033</v>
      </c>
      <c r="J61" s="279">
        <f>2585.69727+800.628326</f>
        <v>3386.3255960000001</v>
      </c>
      <c r="K61" s="43">
        <f t="shared" ref="K61:K62" si="8">J61/5280</f>
        <v>0.6413495446969697</v>
      </c>
      <c r="L61" s="43" t="s">
        <v>842</v>
      </c>
      <c r="M61" s="405">
        <v>23</v>
      </c>
      <c r="N61" s="957">
        <v>6000000</v>
      </c>
      <c r="O61" s="958"/>
      <c r="P61" s="741">
        <v>14633039.295000002</v>
      </c>
      <c r="Q61" s="33" t="s">
        <v>31</v>
      </c>
      <c r="R61" s="33" t="s">
        <v>343</v>
      </c>
      <c r="S61" s="33" t="s">
        <v>31</v>
      </c>
      <c r="T61" s="33" t="str">
        <f>VLOOKUP($E61,Tiers!A:K,10,FALSE)</f>
        <v>Tier 4</v>
      </c>
      <c r="U61" s="33" t="s">
        <v>858</v>
      </c>
      <c r="V61" s="31" t="s">
        <v>343</v>
      </c>
      <c r="W61" s="48" t="s">
        <v>824</v>
      </c>
      <c r="X61" s="48" t="s">
        <v>824</v>
      </c>
      <c r="Y61" s="48" t="s">
        <v>824</v>
      </c>
      <c r="Z61" s="48"/>
      <c r="AA61" s="408" t="s">
        <v>262</v>
      </c>
      <c r="AB61" s="408" t="s">
        <v>262</v>
      </c>
      <c r="AC61" s="281" t="s">
        <v>779</v>
      </c>
      <c r="AD61" s="284">
        <v>6</v>
      </c>
      <c r="AE61" s="33" t="s">
        <v>358</v>
      </c>
      <c r="AF61" s="50" t="s">
        <v>360</v>
      </c>
      <c r="AG61" s="56"/>
      <c r="AH61" s="32"/>
    </row>
    <row r="62" spans="2:34" x14ac:dyDescent="0.3">
      <c r="B62" s="1003" t="s">
        <v>942</v>
      </c>
      <c r="C62" s="987">
        <v>106</v>
      </c>
      <c r="D62" s="358">
        <v>8</v>
      </c>
      <c r="E62" s="358" t="s">
        <v>943</v>
      </c>
      <c r="F62" s="32" t="s">
        <v>1649</v>
      </c>
      <c r="G62" s="411" t="s">
        <v>376</v>
      </c>
      <c r="H62" s="142" t="s">
        <v>1622</v>
      </c>
      <c r="I62" s="142" t="s">
        <v>881</v>
      </c>
      <c r="J62" s="279">
        <f>8750</f>
        <v>8750</v>
      </c>
      <c r="K62" s="43">
        <f t="shared" si="8"/>
        <v>1.6571969696969697</v>
      </c>
      <c r="L62" s="43" t="s">
        <v>842</v>
      </c>
      <c r="M62" s="405">
        <v>37</v>
      </c>
      <c r="N62" s="957">
        <v>12000000</v>
      </c>
      <c r="O62" s="958"/>
      <c r="P62" s="741">
        <v>18055048.336875003</v>
      </c>
      <c r="Q62" s="33" t="s">
        <v>31</v>
      </c>
      <c r="R62" s="33" t="s">
        <v>343</v>
      </c>
      <c r="S62" s="33" t="s">
        <v>774</v>
      </c>
      <c r="T62" s="33" t="str">
        <f>VLOOKUP($E62,Tiers!A:K,10,FALSE)</f>
        <v>Alt Funding</v>
      </c>
      <c r="U62" s="33" t="s">
        <v>778</v>
      </c>
      <c r="V62" s="31" t="s">
        <v>343</v>
      </c>
      <c r="W62" s="48" t="s">
        <v>824</v>
      </c>
      <c r="X62" s="48"/>
      <c r="Y62" s="48"/>
      <c r="Z62" s="48"/>
      <c r="AA62" s="408" t="s">
        <v>262</v>
      </c>
      <c r="AB62" s="408" t="s">
        <v>262</v>
      </c>
      <c r="AC62" s="281" t="s">
        <v>779</v>
      </c>
      <c r="AD62" s="284">
        <v>7</v>
      </c>
      <c r="AE62" s="33" t="s">
        <v>359</v>
      </c>
      <c r="AF62" s="50" t="s">
        <v>360</v>
      </c>
      <c r="AG62" s="56"/>
      <c r="AH62" s="32" t="s">
        <v>347</v>
      </c>
    </row>
    <row r="63" spans="2:34" x14ac:dyDescent="0.3">
      <c r="B63" s="1003" t="s">
        <v>943</v>
      </c>
      <c r="C63" s="987">
        <v>107</v>
      </c>
      <c r="D63" s="524">
        <v>9</v>
      </c>
      <c r="E63" s="358" t="s">
        <v>944</v>
      </c>
      <c r="F63" s="32" t="s">
        <v>1650</v>
      </c>
      <c r="G63" s="411" t="s">
        <v>376</v>
      </c>
      <c r="H63" s="142" t="s">
        <v>1027</v>
      </c>
      <c r="I63" s="142" t="s">
        <v>1028</v>
      </c>
      <c r="J63" s="279">
        <v>4516.589731</v>
      </c>
      <c r="K63" s="43">
        <f>J63/5280</f>
        <v>0.85541472178030309</v>
      </c>
      <c r="L63" s="43" t="s">
        <v>843</v>
      </c>
      <c r="M63" s="405" t="s">
        <v>376</v>
      </c>
      <c r="N63" s="957" t="s">
        <v>376</v>
      </c>
      <c r="O63" s="957"/>
      <c r="P63" s="741">
        <v>36005930.233806722</v>
      </c>
      <c r="Q63" s="33" t="s">
        <v>31</v>
      </c>
      <c r="R63" s="33" t="s">
        <v>343</v>
      </c>
      <c r="S63" s="33" t="s">
        <v>774</v>
      </c>
      <c r="T63" s="33" t="str">
        <f>VLOOKUP($E63,Tiers!A:K,10,FALSE)</f>
        <v>--</v>
      </c>
      <c r="U63" s="33" t="s">
        <v>778</v>
      </c>
      <c r="V63" s="31" t="s">
        <v>343</v>
      </c>
      <c r="W63" s="48" t="s">
        <v>824</v>
      </c>
      <c r="X63" s="48"/>
      <c r="Y63" s="48"/>
      <c r="Z63" s="48"/>
      <c r="AA63" s="408" t="s">
        <v>262</v>
      </c>
      <c r="AB63" s="408">
        <v>2</v>
      </c>
      <c r="AC63" s="281" t="s">
        <v>779</v>
      </c>
      <c r="AD63" s="284">
        <v>8</v>
      </c>
      <c r="AE63" s="33"/>
      <c r="AF63" s="50" t="s">
        <v>360</v>
      </c>
      <c r="AG63" s="56"/>
      <c r="AH63" s="32"/>
    </row>
    <row r="64" spans="2:34" x14ac:dyDescent="0.3">
      <c r="B64" s="1003" t="s">
        <v>944</v>
      </c>
      <c r="C64" s="987">
        <v>108</v>
      </c>
      <c r="D64" s="358">
        <v>10</v>
      </c>
      <c r="E64" s="358" t="s">
        <v>945</v>
      </c>
      <c r="F64" s="32" t="s">
        <v>1651</v>
      </c>
      <c r="G64" s="411" t="s">
        <v>376</v>
      </c>
      <c r="H64" s="142" t="s">
        <v>781</v>
      </c>
      <c r="I64" s="142" t="s">
        <v>1035</v>
      </c>
      <c r="J64" s="279">
        <v>4081.6595029999999</v>
      </c>
      <c r="K64" s="43">
        <f>J64/5280</f>
        <v>0.77304157253787875</v>
      </c>
      <c r="L64" s="43" t="s">
        <v>843</v>
      </c>
      <c r="M64" s="405" t="s">
        <v>376</v>
      </c>
      <c r="N64" s="957" t="s">
        <v>376</v>
      </c>
      <c r="O64" s="957"/>
      <c r="P64" s="741">
        <v>74265490.299992934</v>
      </c>
      <c r="Q64" s="33" t="s">
        <v>31</v>
      </c>
      <c r="R64" s="33" t="s">
        <v>343</v>
      </c>
      <c r="S64" s="33" t="s">
        <v>774</v>
      </c>
      <c r="T64" s="33" t="str">
        <f>VLOOKUP($E64,Tiers!A:K,10,FALSE)</f>
        <v>--</v>
      </c>
      <c r="U64" s="33" t="s">
        <v>778</v>
      </c>
      <c r="V64" s="31" t="s">
        <v>343</v>
      </c>
      <c r="W64" s="48" t="s">
        <v>824</v>
      </c>
      <c r="X64" s="48"/>
      <c r="Y64" s="48"/>
      <c r="Z64" s="48"/>
      <c r="AA64" s="408" t="s">
        <v>262</v>
      </c>
      <c r="AB64" s="408">
        <v>2</v>
      </c>
      <c r="AC64" s="281" t="s">
        <v>779</v>
      </c>
      <c r="AD64" s="284">
        <v>9</v>
      </c>
      <c r="AE64" s="33"/>
      <c r="AF64" s="50" t="s">
        <v>360</v>
      </c>
      <c r="AG64" s="56"/>
      <c r="AH64" s="32"/>
    </row>
    <row r="65" spans="2:34" x14ac:dyDescent="0.3">
      <c r="B65" s="1003" t="s">
        <v>991</v>
      </c>
      <c r="C65" s="987">
        <v>113</v>
      </c>
      <c r="D65" s="524">
        <v>11</v>
      </c>
      <c r="E65" s="358" t="s">
        <v>946</v>
      </c>
      <c r="F65" s="32" t="s">
        <v>1652</v>
      </c>
      <c r="G65" s="411" t="s">
        <v>376</v>
      </c>
      <c r="H65" s="142" t="s">
        <v>645</v>
      </c>
      <c r="I65" s="142" t="s">
        <v>1035</v>
      </c>
      <c r="J65" s="279">
        <v>2717.2154260000002</v>
      </c>
      <c r="K65" s="43">
        <f>J65/5280</f>
        <v>0.51462413371212123</v>
      </c>
      <c r="L65" s="43" t="s">
        <v>843</v>
      </c>
      <c r="M65" s="427" t="s">
        <v>376</v>
      </c>
      <c r="N65" s="952" t="s">
        <v>376</v>
      </c>
      <c r="O65" s="952"/>
      <c r="P65" s="741">
        <v>7089873.2843747754</v>
      </c>
      <c r="Q65" s="33" t="s">
        <v>31</v>
      </c>
      <c r="R65" s="33" t="s">
        <v>343</v>
      </c>
      <c r="S65" s="33" t="s">
        <v>31</v>
      </c>
      <c r="T65" s="33" t="str">
        <f>VLOOKUP($E65,Tiers!A:K,10,FALSE)</f>
        <v>Alt Funding</v>
      </c>
      <c r="U65" s="33" t="s">
        <v>999</v>
      </c>
      <c r="V65" s="54" t="s">
        <v>343</v>
      </c>
      <c r="W65" s="48" t="s">
        <v>824</v>
      </c>
      <c r="X65" s="48"/>
      <c r="Y65" s="48"/>
      <c r="Z65" s="48"/>
      <c r="AA65" s="408" t="s">
        <v>262</v>
      </c>
      <c r="AB65" s="408">
        <v>2</v>
      </c>
      <c r="AC65" s="281" t="s">
        <v>779</v>
      </c>
      <c r="AD65" s="284">
        <v>14</v>
      </c>
      <c r="AE65" s="33"/>
      <c r="AF65" s="50" t="s">
        <v>360</v>
      </c>
      <c r="AG65" s="56"/>
      <c r="AH65" s="32" t="s">
        <v>347</v>
      </c>
    </row>
    <row r="66" spans="2:34" x14ac:dyDescent="0.3">
      <c r="B66" s="1003" t="s">
        <v>945</v>
      </c>
      <c r="C66" s="987">
        <v>109</v>
      </c>
      <c r="D66" s="358">
        <v>12</v>
      </c>
      <c r="E66" s="358" t="s">
        <v>1274</v>
      </c>
      <c r="F66" s="32" t="s">
        <v>1671</v>
      </c>
      <c r="G66" s="411" t="s">
        <v>376</v>
      </c>
      <c r="H66" s="142" t="s">
        <v>874</v>
      </c>
      <c r="I66" s="142" t="s">
        <v>875</v>
      </c>
      <c r="J66" s="279">
        <v>14539.9236321432</v>
      </c>
      <c r="K66" s="43">
        <f t="shared" si="7"/>
        <v>2.7537734151786362</v>
      </c>
      <c r="L66" s="43" t="s">
        <v>842</v>
      </c>
      <c r="M66" s="405">
        <v>31</v>
      </c>
      <c r="N66" s="957">
        <v>57000000</v>
      </c>
      <c r="O66" s="958">
        <v>1.1399999999999999</v>
      </c>
      <c r="P66" s="148">
        <v>64979999.999999993</v>
      </c>
      <c r="Q66" s="33" t="s">
        <v>48</v>
      </c>
      <c r="R66" s="33" t="s">
        <v>343</v>
      </c>
      <c r="S66" s="33" t="s">
        <v>774</v>
      </c>
      <c r="T66" s="33" t="str">
        <f>VLOOKUP($E66,Tiers!A:K,10,FALSE)</f>
        <v>Alt Funding</v>
      </c>
      <c r="U66" s="33" t="s">
        <v>778</v>
      </c>
      <c r="V66" s="31" t="s">
        <v>1155</v>
      </c>
      <c r="W66" s="48"/>
      <c r="X66" s="48"/>
      <c r="Y66" s="48"/>
      <c r="Z66" s="48" t="s">
        <v>824</v>
      </c>
      <c r="AA66" s="408" t="s">
        <v>262</v>
      </c>
      <c r="AB66" s="408" t="s">
        <v>262</v>
      </c>
      <c r="AC66" s="281" t="s">
        <v>670</v>
      </c>
      <c r="AD66" s="284">
        <v>10</v>
      </c>
      <c r="AE66" s="33" t="s">
        <v>357</v>
      </c>
      <c r="AF66" s="50" t="s">
        <v>360</v>
      </c>
      <c r="AG66" s="56" t="s">
        <v>364</v>
      </c>
      <c r="AH66" s="32" t="s">
        <v>347</v>
      </c>
    </row>
    <row r="67" spans="2:34" x14ac:dyDescent="0.3">
      <c r="B67" s="1003" t="s">
        <v>946</v>
      </c>
      <c r="C67" s="987">
        <v>110</v>
      </c>
      <c r="D67" s="358">
        <v>13</v>
      </c>
      <c r="E67" s="358" t="s">
        <v>1275</v>
      </c>
      <c r="F67" s="32" t="s">
        <v>1672</v>
      </c>
      <c r="G67" s="411" t="s">
        <v>376</v>
      </c>
      <c r="H67" s="142" t="s">
        <v>875</v>
      </c>
      <c r="I67" s="142" t="s">
        <v>877</v>
      </c>
      <c r="J67" s="279">
        <v>32803.011998789101</v>
      </c>
      <c r="K67" s="43">
        <f t="shared" si="7"/>
        <v>6.2126916664373297</v>
      </c>
      <c r="L67" s="43" t="s">
        <v>842</v>
      </c>
      <c r="M67" s="405">
        <v>32</v>
      </c>
      <c r="N67" s="957">
        <v>103000000</v>
      </c>
      <c r="O67" s="958">
        <v>1.1399999999999999</v>
      </c>
      <c r="P67" s="148">
        <v>117419999.99999999</v>
      </c>
      <c r="Q67" s="33" t="s">
        <v>48</v>
      </c>
      <c r="R67" s="33" t="s">
        <v>343</v>
      </c>
      <c r="S67" s="33" t="s">
        <v>774</v>
      </c>
      <c r="T67" s="33" t="str">
        <f>VLOOKUP($E67,Tiers!A:K,10,FALSE)</f>
        <v>Alt Funding</v>
      </c>
      <c r="U67" s="33" t="s">
        <v>778</v>
      </c>
      <c r="V67" s="31" t="s">
        <v>1155</v>
      </c>
      <c r="W67" s="48"/>
      <c r="X67" s="48"/>
      <c r="Y67" s="48"/>
      <c r="Z67" s="48" t="s">
        <v>824</v>
      </c>
      <c r="AA67" s="408" t="s">
        <v>262</v>
      </c>
      <c r="AB67" s="408" t="s">
        <v>262</v>
      </c>
      <c r="AC67" s="281" t="s">
        <v>670</v>
      </c>
      <c r="AD67" s="284">
        <v>11</v>
      </c>
      <c r="AE67" s="33" t="s">
        <v>353</v>
      </c>
      <c r="AF67" s="50" t="s">
        <v>360</v>
      </c>
      <c r="AG67" s="56" t="s">
        <v>364</v>
      </c>
      <c r="AH67" s="32" t="s">
        <v>347</v>
      </c>
    </row>
    <row r="68" spans="2:34" x14ac:dyDescent="0.3">
      <c r="B68" s="1003"/>
      <c r="C68" s="987">
        <v>114</v>
      </c>
      <c r="D68" s="358">
        <v>14</v>
      </c>
      <c r="E68" s="358" t="s">
        <v>991</v>
      </c>
      <c r="F68" s="32" t="s">
        <v>1719</v>
      </c>
      <c r="G68" s="411"/>
      <c r="H68" s="142" t="s">
        <v>1720</v>
      </c>
      <c r="I68" s="142" t="s">
        <v>1721</v>
      </c>
      <c r="J68" s="279">
        <v>7411.859074</v>
      </c>
      <c r="K68" s="43">
        <f t="shared" si="7"/>
        <v>1.4037611882575758</v>
      </c>
      <c r="L68" s="43"/>
      <c r="M68" s="427" t="s">
        <v>376</v>
      </c>
      <c r="N68" s="952" t="s">
        <v>376</v>
      </c>
      <c r="O68" s="958"/>
      <c r="P68" s="148">
        <v>44000000</v>
      </c>
      <c r="Q68" s="33" t="s">
        <v>31</v>
      </c>
      <c r="R68" s="33" t="s">
        <v>343</v>
      </c>
      <c r="S68" s="33" t="s">
        <v>774</v>
      </c>
      <c r="T68" s="33"/>
      <c r="U68" s="33" t="s">
        <v>778</v>
      </c>
      <c r="V68" s="31" t="s">
        <v>343</v>
      </c>
      <c r="W68" s="48" t="s">
        <v>824</v>
      </c>
      <c r="X68" s="48" t="s">
        <v>824</v>
      </c>
      <c r="Y68" s="48" t="s">
        <v>824</v>
      </c>
      <c r="Z68" s="48"/>
      <c r="AA68" s="408" t="s">
        <v>262</v>
      </c>
      <c r="AB68" s="408">
        <v>4</v>
      </c>
      <c r="AC68" s="281" t="s">
        <v>779</v>
      </c>
      <c r="AD68" s="284">
        <v>14</v>
      </c>
      <c r="AE68" s="33"/>
      <c r="AF68" s="50"/>
      <c r="AG68" s="56"/>
      <c r="AH68" s="32" t="s">
        <v>347</v>
      </c>
    </row>
    <row r="69" spans="2:34" x14ac:dyDescent="0.3">
      <c r="C69" s="987">
        <v>115</v>
      </c>
      <c r="S69" s="121"/>
      <c r="T69" s="121"/>
      <c r="U69" s="121"/>
      <c r="AH69" s="29"/>
    </row>
    <row r="70" spans="2:34" x14ac:dyDescent="0.3">
      <c r="C70" s="987">
        <v>132</v>
      </c>
    </row>
    <row r="71" spans="2:34" x14ac:dyDescent="0.3">
      <c r="C71" s="987">
        <v>133</v>
      </c>
      <c r="P71" s="995"/>
    </row>
    <row r="72" spans="2:34" x14ac:dyDescent="0.3">
      <c r="C72" s="987">
        <v>134</v>
      </c>
    </row>
    <row r="73" spans="2:34" x14ac:dyDescent="0.3">
      <c r="C73" s="987">
        <v>135</v>
      </c>
      <c r="P73" s="1448"/>
      <c r="U73" s="144" t="s">
        <v>1149</v>
      </c>
      <c r="V73" s="144" t="s">
        <v>1150</v>
      </c>
    </row>
    <row r="74" spans="2:34" ht="27.6" x14ac:dyDescent="0.3">
      <c r="C74" s="987">
        <v>136</v>
      </c>
      <c r="P74" s="1449"/>
      <c r="U74" s="550" t="s">
        <v>1048</v>
      </c>
      <c r="V74" s="551" t="s">
        <v>1487</v>
      </c>
    </row>
    <row r="75" spans="2:34" ht="27.6" x14ac:dyDescent="0.3">
      <c r="C75" s="987">
        <v>137</v>
      </c>
      <c r="P75" s="1449"/>
      <c r="U75" s="552" t="s">
        <v>1047</v>
      </c>
      <c r="V75" s="551" t="s">
        <v>1481</v>
      </c>
    </row>
    <row r="76" spans="2:34" x14ac:dyDescent="0.3">
      <c r="C76" s="987">
        <v>138</v>
      </c>
      <c r="P76" s="1449"/>
      <c r="U76" s="572" t="s">
        <v>672</v>
      </c>
      <c r="V76" s="551" t="s">
        <v>672</v>
      </c>
    </row>
    <row r="77" spans="2:34" ht="27.6" x14ac:dyDescent="0.3">
      <c r="C77" s="987">
        <v>139</v>
      </c>
      <c r="P77" s="1449"/>
      <c r="U77" s="553" t="s">
        <v>1046</v>
      </c>
      <c r="V77" s="551" t="s">
        <v>1643</v>
      </c>
    </row>
    <row r="78" spans="2:34" x14ac:dyDescent="0.3">
      <c r="C78" s="987">
        <v>140</v>
      </c>
      <c r="P78" s="1449"/>
      <c r="U78" s="554"/>
      <c r="V78" s="555"/>
    </row>
    <row r="79" spans="2:34" x14ac:dyDescent="0.3">
      <c r="C79" s="987">
        <v>141</v>
      </c>
      <c r="P79" s="1449"/>
      <c r="U79" s="556" t="s">
        <v>1050</v>
      </c>
      <c r="V79" s="551" t="s">
        <v>573</v>
      </c>
    </row>
    <row r="80" spans="2:34" ht="27.6" x14ac:dyDescent="0.3">
      <c r="C80" s="987">
        <v>142</v>
      </c>
      <c r="P80" s="1449"/>
      <c r="U80" s="557" t="s">
        <v>1051</v>
      </c>
      <c r="V80" s="551" t="s">
        <v>343</v>
      </c>
    </row>
    <row r="81" spans="16:16" x14ac:dyDescent="0.3">
      <c r="P81" s="1448"/>
    </row>
    <row r="82" spans="16:16" x14ac:dyDescent="0.3">
      <c r="P82" s="1448"/>
    </row>
    <row r="83" spans="16:16" x14ac:dyDescent="0.3">
      <c r="P83" s="1448"/>
    </row>
  </sheetData>
  <autoFilter ref="A1:AI80" xr:uid="{6B73B207-8423-4713-A371-0C9BEDCFC68B}">
    <sortState xmlns:xlrd2="http://schemas.microsoft.com/office/spreadsheetml/2017/richdata2" ref="A2:AI67">
      <sortCondition ref="C1:C67"/>
    </sortState>
  </autoFilter>
  <phoneticPr fontId="29" type="noConversion"/>
  <conditionalFormatting sqref="K59:P59 L49:N51 Q32:R47 S32:S51 Q57:AH66 AG30:AH47 AF30:AF51 F60:O65 F59:I59 Q1:S31 U25:AH29 U24:AG24 U30:AE47 D41:P47 D48:K50 D51:H51 D40:S40 D53:H53 AF53 L53:M53 U1:AH23 G66:P66 D54:AH56 D57:E66 D57:P58 B54:B66 D1:P39 L48:P48">
    <cfRule type="expression" dxfId="371" priority="249">
      <formula>MOD(ROW(),2)=0</formula>
    </cfRule>
  </conditionalFormatting>
  <conditionalFormatting sqref="AF2 AF11">
    <cfRule type="expression" dxfId="370" priority="247">
      <formula>MOD(ROW(),2)=0</formula>
    </cfRule>
  </conditionalFormatting>
  <conditionalFormatting sqref="Q26:Q27">
    <cfRule type="expression" dxfId="369" priority="233">
      <formula>MOD(ROW(),2)=0</formula>
    </cfRule>
  </conditionalFormatting>
  <conditionalFormatting sqref="R29:R40">
    <cfRule type="expression" dxfId="368" priority="222">
      <formula>MOD(ROW(),2)=0</formula>
    </cfRule>
  </conditionalFormatting>
  <conditionalFormatting sqref="V63:AH63">
    <cfRule type="expression" dxfId="367" priority="220">
      <formula>MOD(ROW(),2)=0</formula>
    </cfRule>
  </conditionalFormatting>
  <conditionalFormatting sqref="V64:V65">
    <cfRule type="expression" dxfId="366" priority="206">
      <formula>MOD(ROW(),2)=0</formula>
    </cfRule>
  </conditionalFormatting>
  <conditionalFormatting sqref="U47:AE47 U43:U45 AG47:AH47">
    <cfRule type="expression" dxfId="365" priority="219">
      <formula>MOD(ROW(),2)=0</formula>
    </cfRule>
  </conditionalFormatting>
  <conditionalFormatting sqref="R47">
    <cfRule type="expression" dxfId="364" priority="217">
      <formula>MOD(ROW(),2)=0</formula>
    </cfRule>
  </conditionalFormatting>
  <conditionalFormatting sqref="AG41:AH41 U41:AE41 AD43 AD45">
    <cfRule type="expression" dxfId="363" priority="216">
      <formula>MOD(ROW(),2)=0</formula>
    </cfRule>
  </conditionalFormatting>
  <conditionalFormatting sqref="R41">
    <cfRule type="expression" dxfId="362" priority="214">
      <formula>MOD(ROW(),2)=0</formula>
    </cfRule>
  </conditionalFormatting>
  <conditionalFormatting sqref="K47">
    <cfRule type="expression" dxfId="361" priority="213">
      <formula>MOD(ROW(),2)=0</formula>
    </cfRule>
  </conditionalFormatting>
  <conditionalFormatting sqref="M47:O47">
    <cfRule type="expression" dxfId="360" priority="212">
      <formula>MOD(ROW(),2)=0</formula>
    </cfRule>
  </conditionalFormatting>
  <conditionalFormatting sqref="U64:U65">
    <cfRule type="expression" dxfId="359" priority="207">
      <formula>MOD(ROW(),2)=0</formula>
    </cfRule>
  </conditionalFormatting>
  <conditionalFormatting sqref="V43:V47">
    <cfRule type="expression" dxfId="358" priority="200">
      <formula>MOD(ROW(),2)=0</formula>
    </cfRule>
  </conditionalFormatting>
  <conditionalFormatting sqref="W64:AH65">
    <cfRule type="expression" dxfId="357" priority="209">
      <formula>MOD(ROW(),2)=0</formula>
    </cfRule>
  </conditionalFormatting>
  <conditionalFormatting sqref="U63">
    <cfRule type="expression" dxfId="356" priority="208">
      <formula>MOD(ROW(),2)=0</formula>
    </cfRule>
  </conditionalFormatting>
  <conditionalFormatting sqref="R43:R45">
    <cfRule type="expression" dxfId="355" priority="201">
      <formula>MOD(ROW(),2)=0</formula>
    </cfRule>
  </conditionalFormatting>
  <conditionalFormatting sqref="AG42:AH42 U42:AE42 M43:O45 AD44">
    <cfRule type="expression" dxfId="354" priority="205">
      <formula>MOD(ROW(),2)=0</formula>
    </cfRule>
  </conditionalFormatting>
  <conditionalFormatting sqref="R42">
    <cfRule type="expression" dxfId="353" priority="203">
      <formula>MOD(ROW(),2)=0</formula>
    </cfRule>
  </conditionalFormatting>
  <conditionalFormatting sqref="K43:K45">
    <cfRule type="expression" dxfId="352" priority="202">
      <formula>MOD(ROW(),2)=0</formula>
    </cfRule>
  </conditionalFormatting>
  <conditionalFormatting sqref="X43">
    <cfRule type="expression" dxfId="351" priority="199">
      <formula>MOD(ROW(),2)=0</formula>
    </cfRule>
  </conditionalFormatting>
  <conditionalFormatting sqref="Y43">
    <cfRule type="expression" dxfId="350" priority="198">
      <formula>MOD(ROW(),2)=0</formula>
    </cfRule>
  </conditionalFormatting>
  <conditionalFormatting sqref="AA43:AC45">
    <cfRule type="expression" dxfId="349" priority="197">
      <formula>MOD(ROW(),2)=0</formula>
    </cfRule>
  </conditionalFormatting>
  <conditionalFormatting sqref="D58:E66">
    <cfRule type="expression" dxfId="348" priority="194">
      <formula>MOD(ROW(),2)=0</formula>
    </cfRule>
  </conditionalFormatting>
  <conditionalFormatting sqref="V74">
    <cfRule type="expression" dxfId="347" priority="189">
      <formula>MOD(ROW(),2)=0</formula>
    </cfRule>
  </conditionalFormatting>
  <conditionalFormatting sqref="V75">
    <cfRule type="expression" dxfId="346" priority="188">
      <formula>MOD(ROW(),2)=0</formula>
    </cfRule>
  </conditionalFormatting>
  <conditionalFormatting sqref="V76">
    <cfRule type="expression" dxfId="345" priority="187">
      <formula>MOD(ROW(),2)=0</formula>
    </cfRule>
  </conditionalFormatting>
  <conditionalFormatting sqref="V77">
    <cfRule type="expression" dxfId="344" priority="186">
      <formula>MOD(ROW(),2)=0</formula>
    </cfRule>
  </conditionalFormatting>
  <conditionalFormatting sqref="V79">
    <cfRule type="expression" dxfId="343" priority="185">
      <formula>MOD(ROW(),2)=0</formula>
    </cfRule>
  </conditionalFormatting>
  <conditionalFormatting sqref="V80">
    <cfRule type="expression" dxfId="342" priority="184">
      <formula>MOD(ROW(),2)=0</formula>
    </cfRule>
  </conditionalFormatting>
  <conditionalFormatting sqref="U32:U33">
    <cfRule type="expression" dxfId="341" priority="183">
      <formula>MOD(ROW(),2)=0</formula>
    </cfRule>
  </conditionalFormatting>
  <conditionalFormatting sqref="W46:Z46 AE46 L46 AG46:AH46">
    <cfRule type="expression" dxfId="340" priority="182">
      <formula>MOD(ROW(),2)=0</formula>
    </cfRule>
  </conditionalFormatting>
  <conditionalFormatting sqref="AD46">
    <cfRule type="expression" dxfId="339" priority="180">
      <formula>MOD(ROW(),2)=0</formula>
    </cfRule>
  </conditionalFormatting>
  <conditionalFormatting sqref="M46:O46">
    <cfRule type="expression" dxfId="338" priority="179">
      <formula>MOD(ROW(),2)=0</formula>
    </cfRule>
  </conditionalFormatting>
  <conditionalFormatting sqref="K46">
    <cfRule type="expression" dxfId="337" priority="178">
      <formula>MOD(ROW(),2)=0</formula>
    </cfRule>
  </conditionalFormatting>
  <conditionalFormatting sqref="AA46:AC46">
    <cfRule type="expression" dxfId="336" priority="175">
      <formula>MOD(ROW(),2)=0</formula>
    </cfRule>
  </conditionalFormatting>
  <conditionalFormatting sqref="Q46">
    <cfRule type="expression" dxfId="335" priority="174">
      <formula>MOD(ROW(),2)=0</formula>
    </cfRule>
  </conditionalFormatting>
  <conditionalFormatting sqref="R46">
    <cfRule type="expression" dxfId="334" priority="173">
      <formula>MOD(ROW(),2)=0</formula>
    </cfRule>
  </conditionalFormatting>
  <conditionalFormatting sqref="U46">
    <cfRule type="expression" dxfId="333" priority="172">
      <formula>MOD(ROW(),2)=0</formula>
    </cfRule>
  </conditionalFormatting>
  <conditionalFormatting sqref="V46">
    <cfRule type="expression" dxfId="332" priority="171">
      <formula>MOD(ROW(),2)=0</formula>
    </cfRule>
  </conditionalFormatting>
  <conditionalFormatting sqref="H47">
    <cfRule type="expression" dxfId="331" priority="170">
      <formula>MOD(ROW(),2)=0</formula>
    </cfRule>
  </conditionalFormatting>
  <conditionalFormatting sqref="U36">
    <cfRule type="expression" dxfId="330" priority="169">
      <formula>MOD(ROW(),2)=0</formula>
    </cfRule>
  </conditionalFormatting>
  <conditionalFormatting sqref="Q61:S62 D61:D62 S63:S66 AF63:AF66 F61:K62 U61:AH62">
    <cfRule type="expression" dxfId="329" priority="168">
      <formula>MOD(ROW(),2)=0</formula>
    </cfRule>
  </conditionalFormatting>
  <conditionalFormatting sqref="W57:AH57 S57 L57:O57 K57:K58 F57:J57 U57">
    <cfRule type="expression" dxfId="328" priority="161">
      <formula>MOD(ROW(),2)=0</formula>
    </cfRule>
  </conditionalFormatting>
  <conditionalFormatting sqref="V57:V58">
    <cfRule type="expression" dxfId="327" priority="160">
      <formula>MOD(ROW(),2)=0</formula>
    </cfRule>
  </conditionalFormatting>
  <conditionalFormatting sqref="Q57">
    <cfRule type="expression" dxfId="326" priority="159">
      <formula>MOD(ROW(),2)=0</formula>
    </cfRule>
  </conditionalFormatting>
  <conditionalFormatting sqref="R57:R58">
    <cfRule type="expression" dxfId="325" priority="158">
      <formula>MOD(ROW(),2)=0</formula>
    </cfRule>
  </conditionalFormatting>
  <conditionalFormatting sqref="AH24">
    <cfRule type="expression" dxfId="324" priority="140">
      <formula>MOD(ROW(),2)=0</formula>
    </cfRule>
  </conditionalFormatting>
  <conditionalFormatting sqref="J53:K53 Q53:S53 Q48:R48 U48 U53:AE53 AG53:AH53 AG48:AH48 W48:AE48">
    <cfRule type="expression" dxfId="323" priority="138">
      <formula>MOD(ROW(),2)=0</formula>
    </cfRule>
  </conditionalFormatting>
  <conditionalFormatting sqref="U48 S53 U53:AE53 AG53:AH53 AG48:AH48 W48:AE48">
    <cfRule type="expression" dxfId="322" priority="137">
      <formula>MOD(ROW(),2)=0</formula>
    </cfRule>
  </conditionalFormatting>
  <conditionalFormatting sqref="R48 R53">
    <cfRule type="expression" dxfId="321" priority="136">
      <formula>MOD(ROW(),2)=0</formula>
    </cfRule>
  </conditionalFormatting>
  <conditionalFormatting sqref="K48 K53">
    <cfRule type="expression" dxfId="320" priority="135">
      <formula>MOD(ROW(),2)=0</formula>
    </cfRule>
  </conditionalFormatting>
  <conditionalFormatting sqref="M48:O48 M53">
    <cfRule type="expression" dxfId="319" priority="134">
      <formula>MOD(ROW(),2)=0</formula>
    </cfRule>
  </conditionalFormatting>
  <conditionalFormatting sqref="V53">
    <cfRule type="expression" dxfId="318" priority="133">
      <formula>MOD(ROW(),2)=0</formula>
    </cfRule>
  </conditionalFormatting>
  <conditionalFormatting sqref="H48 H53">
    <cfRule type="expression" dxfId="317" priority="132">
      <formula>MOD(ROW(),2)=0</formula>
    </cfRule>
  </conditionalFormatting>
  <conditionalFormatting sqref="Q49:R49 U49:AE49 AG49:AH49">
    <cfRule type="expression" dxfId="316" priority="130">
      <formula>MOD(ROW(),2)=0</formula>
    </cfRule>
  </conditionalFormatting>
  <conditionalFormatting sqref="U49:AE49 AG49:AH49">
    <cfRule type="expression" dxfId="315" priority="129">
      <formula>MOD(ROW(),2)=0</formula>
    </cfRule>
  </conditionalFormatting>
  <conditionalFormatting sqref="R49">
    <cfRule type="expression" dxfId="314" priority="128">
      <formula>MOD(ROW(),2)=0</formula>
    </cfRule>
  </conditionalFormatting>
  <conditionalFormatting sqref="K49">
    <cfRule type="expression" dxfId="313" priority="127">
      <formula>MOD(ROW(),2)=0</formula>
    </cfRule>
  </conditionalFormatting>
  <conditionalFormatting sqref="M49:N49">
    <cfRule type="expression" dxfId="312" priority="126">
      <formula>MOD(ROW(),2)=0</formula>
    </cfRule>
  </conditionalFormatting>
  <conditionalFormatting sqref="V49">
    <cfRule type="expression" dxfId="311" priority="125">
      <formula>MOD(ROW(),2)=0</formula>
    </cfRule>
  </conditionalFormatting>
  <conditionalFormatting sqref="H49">
    <cfRule type="expression" dxfId="310" priority="124">
      <formula>MOD(ROW(),2)=0</formula>
    </cfRule>
  </conditionalFormatting>
  <conditionalFormatting sqref="M50:N50">
    <cfRule type="expression" dxfId="309" priority="117">
      <formula>MOD(ROW(),2)=0</formula>
    </cfRule>
  </conditionalFormatting>
  <conditionalFormatting sqref="U50:AE50 AG50:AH50">
    <cfRule type="expression" dxfId="308" priority="120">
      <formula>MOD(ROW(),2)=0</formula>
    </cfRule>
  </conditionalFormatting>
  <conditionalFormatting sqref="Q50:R50 U50:AE50 AG50:AH50">
    <cfRule type="expression" dxfId="307" priority="121">
      <formula>MOD(ROW(),2)=0</formula>
    </cfRule>
  </conditionalFormatting>
  <conditionalFormatting sqref="O50:P50">
    <cfRule type="expression" dxfId="306" priority="110">
      <formula>MOD(ROW(),2)=0</formula>
    </cfRule>
  </conditionalFormatting>
  <conditionalFormatting sqref="R50">
    <cfRule type="expression" dxfId="305" priority="119">
      <formula>MOD(ROW(),2)=0</formula>
    </cfRule>
  </conditionalFormatting>
  <conditionalFormatting sqref="K50">
    <cfRule type="expression" dxfId="304" priority="118">
      <formula>MOD(ROW(),2)=0</formula>
    </cfRule>
  </conditionalFormatting>
  <conditionalFormatting sqref="J59">
    <cfRule type="expression" dxfId="303" priority="95">
      <formula>MOD(ROW(),2)=0</formula>
    </cfRule>
  </conditionalFormatting>
  <conditionalFormatting sqref="V50">
    <cfRule type="expression" dxfId="302" priority="116">
      <formula>MOD(ROW(),2)=0</formula>
    </cfRule>
  </conditionalFormatting>
  <conditionalFormatting sqref="H50">
    <cfRule type="expression" dxfId="301" priority="115">
      <formula>MOD(ROW(),2)=0</formula>
    </cfRule>
  </conditionalFormatting>
  <conditionalFormatting sqref="I53">
    <cfRule type="expression" dxfId="300" priority="113">
      <formula>MOD(ROW(),2)=0</formula>
    </cfRule>
  </conditionalFormatting>
  <conditionalFormatting sqref="O49">
    <cfRule type="expression" dxfId="299" priority="112">
      <formula>MOD(ROW(),2)=0</formula>
    </cfRule>
  </conditionalFormatting>
  <conditionalFormatting sqref="O49">
    <cfRule type="expression" dxfId="298" priority="111">
      <formula>MOD(ROW(),2)=0</formula>
    </cfRule>
  </conditionalFormatting>
  <conditionalFormatting sqref="H51">
    <cfRule type="expression" dxfId="297" priority="100">
      <formula>MOD(ROW(),2)=0</formula>
    </cfRule>
  </conditionalFormatting>
  <conditionalFormatting sqref="O50">
    <cfRule type="expression" dxfId="296" priority="109">
      <formula>MOD(ROW(),2)=0</formula>
    </cfRule>
  </conditionalFormatting>
  <conditionalFormatting sqref="P53">
    <cfRule type="expression" dxfId="295" priority="108">
      <formula>MOD(ROW(),2)=0</formula>
    </cfRule>
  </conditionalFormatting>
  <conditionalFormatting sqref="J51:K51 Q51:R51 U51:AE51 AG51:AH51">
    <cfRule type="expression" dxfId="294" priority="106">
      <formula>MOD(ROW(),2)=0</formula>
    </cfRule>
  </conditionalFormatting>
  <conditionalFormatting sqref="U51:AE51 AG51:AH51">
    <cfRule type="expression" dxfId="293" priority="105">
      <formula>MOD(ROW(),2)=0</formula>
    </cfRule>
  </conditionalFormatting>
  <conditionalFormatting sqref="R51">
    <cfRule type="expression" dxfId="292" priority="104">
      <formula>MOD(ROW(),2)=0</formula>
    </cfRule>
  </conditionalFormatting>
  <conditionalFormatting sqref="K51">
    <cfRule type="expression" dxfId="291" priority="103">
      <formula>MOD(ROW(),2)=0</formula>
    </cfRule>
  </conditionalFormatting>
  <conditionalFormatting sqref="M51:N51">
    <cfRule type="expression" dxfId="290" priority="102">
      <formula>MOD(ROW(),2)=0</formula>
    </cfRule>
  </conditionalFormatting>
  <conditionalFormatting sqref="V51">
    <cfRule type="expression" dxfId="289" priority="101">
      <formula>MOD(ROW(),2)=0</formula>
    </cfRule>
  </conditionalFormatting>
  <conditionalFormatting sqref="I51">
    <cfRule type="expression" dxfId="288" priority="99">
      <formula>MOD(ROW(),2)=0</formula>
    </cfRule>
  </conditionalFormatting>
  <conditionalFormatting sqref="O51:P51">
    <cfRule type="expression" dxfId="287" priority="98">
      <formula>MOD(ROW(),2)=0</formula>
    </cfRule>
  </conditionalFormatting>
  <conditionalFormatting sqref="O51">
    <cfRule type="expression" dxfId="286" priority="97">
      <formula>MOD(ROW(),2)=0</formula>
    </cfRule>
  </conditionalFormatting>
  <conditionalFormatting sqref="P60">
    <cfRule type="expression" dxfId="285" priority="89">
      <formula>MOD(ROW(),2)=0</formula>
    </cfRule>
  </conditionalFormatting>
  <conditionalFormatting sqref="P61">
    <cfRule type="expression" dxfId="284" priority="88">
      <formula>MOD(ROW(),2)=0</formula>
    </cfRule>
  </conditionalFormatting>
  <conditionalFormatting sqref="P62">
    <cfRule type="expression" dxfId="283" priority="87">
      <formula>MOD(ROW(),2)=0</formula>
    </cfRule>
  </conditionalFormatting>
  <conditionalFormatting sqref="P63">
    <cfRule type="expression" dxfId="282" priority="86">
      <formula>MOD(ROW(),2)=0</formula>
    </cfRule>
  </conditionalFormatting>
  <conditionalFormatting sqref="P64:P65">
    <cfRule type="expression" dxfId="281" priority="85">
      <formula>MOD(ROW(),2)=0</formula>
    </cfRule>
  </conditionalFormatting>
  <conditionalFormatting sqref="P48">
    <cfRule type="expression" dxfId="280" priority="84">
      <formula>MOD(ROW(),2)=0</formula>
    </cfRule>
  </conditionalFormatting>
  <conditionalFormatting sqref="P50">
    <cfRule type="expression" dxfId="279" priority="83">
      <formula>MOD(ROW(),2)=0</formula>
    </cfRule>
  </conditionalFormatting>
  <conditionalFormatting sqref="P51">
    <cfRule type="expression" dxfId="278" priority="82">
      <formula>MOD(ROW(),2)=0</formula>
    </cfRule>
  </conditionalFormatting>
  <conditionalFormatting sqref="P53">
    <cfRule type="expression" dxfId="277" priority="81">
      <formula>MOD(ROW(),2)=0</formula>
    </cfRule>
  </conditionalFormatting>
  <conditionalFormatting sqref="P59">
    <cfRule type="expression" dxfId="276" priority="80">
      <formula>MOD(ROW(),2)=0</formula>
    </cfRule>
  </conditionalFormatting>
  <conditionalFormatting sqref="W65:AG65 D65 U65 M65:O65 F65:J65">
    <cfRule type="expression" dxfId="275" priority="76">
      <formula>MOD(ROW(),2)=0</formula>
    </cfRule>
  </conditionalFormatting>
  <conditionalFormatting sqref="R65">
    <cfRule type="expression" dxfId="274" priority="66">
      <formula>MOD(ROW(),2)=0</formula>
    </cfRule>
  </conditionalFormatting>
  <conditionalFormatting sqref="V65">
    <cfRule type="expression" dxfId="273" priority="74">
      <formula>MOD(ROW(),2)=0</formula>
    </cfRule>
  </conditionalFormatting>
  <conditionalFormatting sqref="K65">
    <cfRule type="expression" dxfId="272" priority="72">
      <formula>MOD(ROW(),2)=0</formula>
    </cfRule>
  </conditionalFormatting>
  <conditionalFormatting sqref="L65">
    <cfRule type="expression" dxfId="271" priority="71">
      <formula>MOD(ROW(),2)=0</formula>
    </cfRule>
  </conditionalFormatting>
  <conditionalFormatting sqref="AH65">
    <cfRule type="expression" dxfId="270" priority="64">
      <formula>MOD(ROW(),2)=0</formula>
    </cfRule>
  </conditionalFormatting>
  <conditionalFormatting sqref="P65">
    <cfRule type="expression" dxfId="269" priority="68">
      <formula>MOD(ROW(),2)=0</formula>
    </cfRule>
  </conditionalFormatting>
  <conditionalFormatting sqref="Q65">
    <cfRule type="expression" dxfId="268" priority="67">
      <formula>MOD(ROW(),2)=0</formula>
    </cfRule>
  </conditionalFormatting>
  <conditionalFormatting sqref="S65">
    <cfRule type="expression" dxfId="267" priority="65">
      <formula>MOD(ROW(),2)=0</formula>
    </cfRule>
  </conditionalFormatting>
  <conditionalFormatting sqref="B65">
    <cfRule type="expression" dxfId="266" priority="48">
      <formula>MOD(ROW(),2)=0</formula>
    </cfRule>
  </conditionalFormatting>
  <conditionalFormatting sqref="L52:M52 AF52 D52:H52">
    <cfRule type="expression" dxfId="265" priority="47">
      <formula>MOD(ROW(),2)=0</formula>
    </cfRule>
  </conditionalFormatting>
  <conditionalFormatting sqref="B57">
    <cfRule type="expression" dxfId="264" priority="52">
      <formula>MOD(ROW(),2)=0</formula>
    </cfRule>
  </conditionalFormatting>
  <conditionalFormatting sqref="B61:B62">
    <cfRule type="expression" dxfId="263" priority="49">
      <formula>MOD(ROW(),2)=0</formula>
    </cfRule>
  </conditionalFormatting>
  <conditionalFormatting sqref="J52:K52 Q52:S52 U52:AE52 AG52:AH52">
    <cfRule type="expression" dxfId="262" priority="46">
      <formula>MOD(ROW(),2)=0</formula>
    </cfRule>
  </conditionalFormatting>
  <conditionalFormatting sqref="S52 U52:AE52 AG52:AH52">
    <cfRule type="expression" dxfId="261" priority="45">
      <formula>MOD(ROW(),2)=0</formula>
    </cfRule>
  </conditionalFormatting>
  <conditionalFormatting sqref="R52">
    <cfRule type="expression" dxfId="260" priority="44">
      <formula>MOD(ROW(),2)=0</formula>
    </cfRule>
  </conditionalFormatting>
  <conditionalFormatting sqref="K52">
    <cfRule type="expression" dxfId="259" priority="43">
      <formula>MOD(ROW(),2)=0</formula>
    </cfRule>
  </conditionalFormatting>
  <conditionalFormatting sqref="M52">
    <cfRule type="expression" dxfId="258" priority="42">
      <formula>MOD(ROW(),2)=0</formula>
    </cfRule>
  </conditionalFormatting>
  <conditionalFormatting sqref="V52">
    <cfRule type="expression" dxfId="257" priority="41">
      <formula>MOD(ROW(),2)=0</formula>
    </cfRule>
  </conditionalFormatting>
  <conditionalFormatting sqref="H52">
    <cfRule type="expression" dxfId="256" priority="40">
      <formula>MOD(ROW(),2)=0</formula>
    </cfRule>
  </conditionalFormatting>
  <conditionalFormatting sqref="O52">
    <cfRule type="expression" dxfId="255" priority="29">
      <formula>MOD(ROW(),2)=0</formula>
    </cfRule>
  </conditionalFormatting>
  <conditionalFormatting sqref="I52">
    <cfRule type="expression" dxfId="254" priority="39">
      <formula>MOD(ROW(),2)=0</formula>
    </cfRule>
  </conditionalFormatting>
  <conditionalFormatting sqref="N53">
    <cfRule type="expression" dxfId="253" priority="34">
      <formula>MOD(ROW(),2)=0</formula>
    </cfRule>
  </conditionalFormatting>
  <conditionalFormatting sqref="O53">
    <cfRule type="expression" dxfId="252" priority="32">
      <formula>MOD(ROW(),2)=0</formula>
    </cfRule>
  </conditionalFormatting>
  <conditionalFormatting sqref="N53">
    <cfRule type="expression" dxfId="251" priority="35">
      <formula>MOD(ROW(),2)=0</formula>
    </cfRule>
  </conditionalFormatting>
  <conditionalFormatting sqref="O53">
    <cfRule type="expression" dxfId="250" priority="33">
      <formula>MOD(ROW(),2)=0</formula>
    </cfRule>
  </conditionalFormatting>
  <conditionalFormatting sqref="N52">
    <cfRule type="expression" dxfId="249" priority="31">
      <formula>MOD(ROW(),2)=0</formula>
    </cfRule>
  </conditionalFormatting>
  <conditionalFormatting sqref="N52">
    <cfRule type="expression" dxfId="248" priority="30">
      <formula>MOD(ROW(),2)=0</formula>
    </cfRule>
  </conditionalFormatting>
  <conditionalFormatting sqref="O52">
    <cfRule type="expression" dxfId="247" priority="28">
      <formula>MOD(ROW(),2)=0</formula>
    </cfRule>
  </conditionalFormatting>
  <conditionalFormatting sqref="P52">
    <cfRule type="expression" dxfId="246" priority="27">
      <formula>MOD(ROW(),2)=0</formula>
    </cfRule>
  </conditionalFormatting>
  <conditionalFormatting sqref="P52">
    <cfRule type="expression" dxfId="245" priority="26">
      <formula>MOD(ROW(),2)=0</formula>
    </cfRule>
  </conditionalFormatting>
  <conditionalFormatting sqref="T52">
    <cfRule type="expression" dxfId="244" priority="16">
      <formula>MOD(ROW(),2)=0</formula>
    </cfRule>
  </conditionalFormatting>
  <conditionalFormatting sqref="T52">
    <cfRule type="expression" dxfId="243" priority="15">
      <formula>MOD(ROW(),2)=0</formula>
    </cfRule>
  </conditionalFormatting>
  <conditionalFormatting sqref="T1:T51">
    <cfRule type="expression" dxfId="242" priority="23">
      <formula>MOD(ROW(),2)=0</formula>
    </cfRule>
  </conditionalFormatting>
  <conditionalFormatting sqref="T61:T66">
    <cfRule type="expression" dxfId="241" priority="21">
      <formula>MOD(ROW(),2)=0</formula>
    </cfRule>
  </conditionalFormatting>
  <conditionalFormatting sqref="T57">
    <cfRule type="expression" dxfId="240" priority="20">
      <formula>MOD(ROW(),2)=0</formula>
    </cfRule>
  </conditionalFormatting>
  <conditionalFormatting sqref="T53">
    <cfRule type="expression" dxfId="239" priority="19">
      <formula>MOD(ROW(),2)=0</formula>
    </cfRule>
  </conditionalFormatting>
  <conditionalFormatting sqref="T53">
    <cfRule type="expression" dxfId="238" priority="18">
      <formula>MOD(ROW(),2)=0</formula>
    </cfRule>
  </conditionalFormatting>
  <conditionalFormatting sqref="T65">
    <cfRule type="expression" dxfId="237" priority="17">
      <formula>MOD(ROW(),2)=0</formula>
    </cfRule>
  </conditionalFormatting>
  <conditionalFormatting sqref="P49">
    <cfRule type="expression" dxfId="236" priority="14">
      <formula>MOD(ROW(),2)=0</formula>
    </cfRule>
  </conditionalFormatting>
  <conditionalFormatting sqref="P49">
    <cfRule type="expression" dxfId="235" priority="13">
      <formula>MOD(ROW(),2)=0</formula>
    </cfRule>
  </conditionalFormatting>
  <conditionalFormatting sqref="F66">
    <cfRule type="expression" dxfId="234" priority="12">
      <formula>MOD(ROW(),2)=0</formula>
    </cfRule>
  </conditionalFormatting>
  <conditionalFormatting sqref="D67:E67 B67 G67:AH67">
    <cfRule type="expression" dxfId="233" priority="11">
      <formula>MOD(ROW(),2)=0</formula>
    </cfRule>
  </conditionalFormatting>
  <conditionalFormatting sqref="D67:E67">
    <cfRule type="expression" dxfId="232" priority="10">
      <formula>MOD(ROW(),2)=0</formula>
    </cfRule>
  </conditionalFormatting>
  <conditionalFormatting sqref="S67 AF67">
    <cfRule type="expression" dxfId="231" priority="9">
      <formula>MOD(ROW(),2)=0</formula>
    </cfRule>
  </conditionalFormatting>
  <conditionalFormatting sqref="T67">
    <cfRule type="expression" dxfId="230" priority="8">
      <formula>MOD(ROW(),2)=0</formula>
    </cfRule>
  </conditionalFormatting>
  <conditionalFormatting sqref="F67">
    <cfRule type="expression" dxfId="229" priority="7">
      <formula>MOD(ROW(),2)=0</formula>
    </cfRule>
  </conditionalFormatting>
  <conditionalFormatting sqref="D68:E68 B68 G68:AH68">
    <cfRule type="expression" dxfId="228" priority="6">
      <formula>MOD(ROW(),2)=0</formula>
    </cfRule>
  </conditionalFormatting>
  <conditionalFormatting sqref="D68:E68">
    <cfRule type="expression" dxfId="227" priority="5">
      <formula>MOD(ROW(),2)=0</formula>
    </cfRule>
  </conditionalFormatting>
  <conditionalFormatting sqref="S68 AF68">
    <cfRule type="expression" dxfId="226" priority="4">
      <formula>MOD(ROW(),2)=0</formula>
    </cfRule>
  </conditionalFormatting>
  <conditionalFormatting sqref="T68">
    <cfRule type="expression" dxfId="225" priority="3">
      <formula>MOD(ROW(),2)=0</formula>
    </cfRule>
  </conditionalFormatting>
  <conditionalFormatting sqref="F68">
    <cfRule type="expression" dxfId="224" priority="2">
      <formula>MOD(ROW(),2)=0</formula>
    </cfRule>
  </conditionalFormatting>
  <conditionalFormatting sqref="V48">
    <cfRule type="expression" dxfId="223" priority="1">
      <formula>MOD(ROW(),2)=0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A9394-C4BC-4EC7-B2C2-52BEF64EF0C0}">
  <sheetPr>
    <pageSetUpPr fitToPage="1"/>
  </sheetPr>
  <dimension ref="B1:Y137"/>
  <sheetViews>
    <sheetView workbookViewId="0"/>
  </sheetViews>
  <sheetFormatPr defaultColWidth="9.109375" defaultRowHeight="15.6" x14ac:dyDescent="0.3"/>
  <cols>
    <col min="1" max="1" width="2.6640625" style="431" customWidth="1"/>
    <col min="2" max="2" width="11.33203125" style="440" customWidth="1"/>
    <col min="3" max="3" width="47" style="436" customWidth="1"/>
    <col min="4" max="4" width="9.33203125" style="437" customWidth="1"/>
    <col min="5" max="5" width="30.88671875" style="436" customWidth="1"/>
    <col min="6" max="6" width="39" style="436" customWidth="1"/>
    <col min="7" max="7" width="17" style="438" customWidth="1"/>
    <col min="8" max="8" width="12.109375" style="439" customWidth="1"/>
    <col min="9" max="9" width="21.88671875" style="439" bestFit="1" customWidth="1"/>
    <col min="10" max="10" width="30.44140625" style="439" customWidth="1"/>
    <col min="11" max="11" width="11.109375" style="440" customWidth="1"/>
    <col min="12" max="12" width="3.33203125" style="431" customWidth="1"/>
    <col min="13" max="16384" width="9.109375" style="431"/>
  </cols>
  <sheetData>
    <row r="1" spans="2:11" s="470" customFormat="1" ht="23.4" x14ac:dyDescent="0.3">
      <c r="B1" s="432" t="s">
        <v>1015</v>
      </c>
      <c r="C1" s="465"/>
      <c r="D1" s="466"/>
      <c r="E1" s="465"/>
      <c r="F1" s="465"/>
      <c r="G1" s="467"/>
      <c r="H1" s="468"/>
      <c r="I1" s="468"/>
      <c r="J1" s="468"/>
      <c r="K1" s="469">
        <v>44594</v>
      </c>
    </row>
    <row r="2" spans="2:11" ht="16.2" thickBot="1" x14ac:dyDescent="0.35">
      <c r="B2" s="435"/>
    </row>
    <row r="3" spans="2:11" s="464" customFormat="1" ht="18" x14ac:dyDescent="0.3">
      <c r="B3" s="471" t="s">
        <v>1016</v>
      </c>
      <c r="C3" s="472"/>
      <c r="D3" s="473"/>
      <c r="E3" s="472"/>
      <c r="F3" s="472"/>
      <c r="G3" s="474"/>
      <c r="H3" s="475"/>
      <c r="I3" s="475"/>
      <c r="J3" s="475"/>
      <c r="K3" s="476"/>
    </row>
    <row r="4" spans="2:11" s="433" customFormat="1" ht="16.2" thickBot="1" x14ac:dyDescent="0.35">
      <c r="B4" s="479" t="s">
        <v>1014</v>
      </c>
      <c r="C4" s="536" t="s">
        <v>2</v>
      </c>
      <c r="D4" s="537" t="s">
        <v>10</v>
      </c>
      <c r="E4" s="536" t="s">
        <v>3</v>
      </c>
      <c r="F4" s="536" t="s">
        <v>4</v>
      </c>
      <c r="G4" s="538" t="s">
        <v>1026</v>
      </c>
      <c r="H4" s="539" t="s">
        <v>13</v>
      </c>
      <c r="I4" s="539" t="s">
        <v>14</v>
      </c>
      <c r="J4" s="539" t="s">
        <v>15</v>
      </c>
      <c r="K4" s="480" t="s">
        <v>1014</v>
      </c>
    </row>
    <row r="5" spans="2:11" ht="15.75" customHeight="1" x14ac:dyDescent="0.3">
      <c r="B5" s="540" t="s">
        <v>885</v>
      </c>
      <c r="C5" s="547" t="s">
        <v>230</v>
      </c>
      <c r="D5" s="541" t="s">
        <v>1133</v>
      </c>
      <c r="E5" s="547" t="s">
        <v>641</v>
      </c>
      <c r="F5" s="547" t="s">
        <v>642</v>
      </c>
      <c r="G5" s="542">
        <v>1593000</v>
      </c>
      <c r="H5" s="547" t="s">
        <v>57</v>
      </c>
      <c r="I5" s="547" t="s">
        <v>74</v>
      </c>
      <c r="J5" s="884" t="s">
        <v>1046</v>
      </c>
      <c r="K5" s="543" t="s">
        <v>885</v>
      </c>
    </row>
    <row r="6" spans="2:11" ht="15.75" customHeight="1" x14ac:dyDescent="0.3">
      <c r="B6" s="441" t="s">
        <v>887</v>
      </c>
      <c r="C6" s="443" t="s">
        <v>580</v>
      </c>
      <c r="D6" s="482" t="s">
        <v>376</v>
      </c>
      <c r="E6" s="443" t="s">
        <v>614</v>
      </c>
      <c r="F6" s="443" t="s">
        <v>643</v>
      </c>
      <c r="G6" s="445">
        <v>384000</v>
      </c>
      <c r="H6" s="443" t="s">
        <v>57</v>
      </c>
      <c r="I6" s="443" t="s">
        <v>74</v>
      </c>
      <c r="J6" s="478" t="s">
        <v>1046</v>
      </c>
      <c r="K6" s="442" t="s">
        <v>887</v>
      </c>
    </row>
    <row r="7" spans="2:11" ht="15.75" customHeight="1" x14ac:dyDescent="0.3">
      <c r="B7" s="441" t="s">
        <v>826</v>
      </c>
      <c r="C7" s="443" t="s">
        <v>200</v>
      </c>
      <c r="D7" s="444" t="s">
        <v>124</v>
      </c>
      <c r="E7" s="443" t="s">
        <v>644</v>
      </c>
      <c r="F7" s="443" t="s">
        <v>645</v>
      </c>
      <c r="G7" s="445">
        <v>783000</v>
      </c>
      <c r="H7" s="443" t="s">
        <v>31</v>
      </c>
      <c r="I7" s="443" t="s">
        <v>105</v>
      </c>
      <c r="J7" s="458" t="s">
        <v>1047</v>
      </c>
      <c r="K7" s="442" t="s">
        <v>826</v>
      </c>
    </row>
    <row r="8" spans="2:11" ht="15.75" customHeight="1" x14ac:dyDescent="0.3">
      <c r="B8" s="441" t="s">
        <v>888</v>
      </c>
      <c r="C8" s="443" t="s">
        <v>73</v>
      </c>
      <c r="D8" s="482" t="s">
        <v>376</v>
      </c>
      <c r="E8" s="443" t="s">
        <v>822</v>
      </c>
      <c r="F8" s="443" t="s">
        <v>646</v>
      </c>
      <c r="G8" s="445">
        <v>240000</v>
      </c>
      <c r="H8" s="443" t="s">
        <v>57</v>
      </c>
      <c r="I8" s="443" t="s">
        <v>74</v>
      </c>
      <c r="J8" s="478" t="s">
        <v>1046</v>
      </c>
      <c r="K8" s="442" t="s">
        <v>888</v>
      </c>
    </row>
    <row r="9" spans="2:11" x14ac:dyDescent="0.3">
      <c r="B9" s="441" t="s">
        <v>893</v>
      </c>
      <c r="C9" s="443" t="s">
        <v>226</v>
      </c>
      <c r="D9" s="444" t="s">
        <v>411</v>
      </c>
      <c r="E9" s="443" t="s">
        <v>819</v>
      </c>
      <c r="F9" s="443" t="s">
        <v>376</v>
      </c>
      <c r="G9" s="445">
        <v>60000</v>
      </c>
      <c r="H9" s="443" t="s">
        <v>31</v>
      </c>
      <c r="I9" s="443" t="s">
        <v>105</v>
      </c>
      <c r="J9" s="489" t="s">
        <v>1059</v>
      </c>
      <c r="K9" s="442" t="s">
        <v>893</v>
      </c>
    </row>
    <row r="10" spans="2:11" ht="15.75" customHeight="1" x14ac:dyDescent="0.3">
      <c r="B10" s="441" t="s">
        <v>894</v>
      </c>
      <c r="C10" s="443" t="s">
        <v>213</v>
      </c>
      <c r="D10" s="482" t="s">
        <v>376</v>
      </c>
      <c r="E10" s="443" t="s">
        <v>647</v>
      </c>
      <c r="F10" s="443" t="s">
        <v>648</v>
      </c>
      <c r="G10" s="445">
        <v>1250000</v>
      </c>
      <c r="H10" s="443" t="s">
        <v>57</v>
      </c>
      <c r="I10" s="443" t="s">
        <v>81</v>
      </c>
      <c r="J10" s="478" t="s">
        <v>1046</v>
      </c>
      <c r="K10" s="442" t="s">
        <v>894</v>
      </c>
    </row>
    <row r="11" spans="2:11" x14ac:dyDescent="0.3">
      <c r="B11" s="441" t="s">
        <v>895</v>
      </c>
      <c r="C11" s="443" t="s">
        <v>306</v>
      </c>
      <c r="D11" s="444" t="s">
        <v>1134</v>
      </c>
      <c r="E11" s="443" t="s">
        <v>614</v>
      </c>
      <c r="F11" s="443" t="s">
        <v>615</v>
      </c>
      <c r="G11" s="445">
        <v>92000</v>
      </c>
      <c r="H11" s="443" t="s">
        <v>31</v>
      </c>
      <c r="I11" s="443" t="s">
        <v>105</v>
      </c>
      <c r="J11" s="458" t="s">
        <v>1047</v>
      </c>
      <c r="K11" s="442" t="s">
        <v>895</v>
      </c>
    </row>
    <row r="12" spans="2:11" x14ac:dyDescent="0.3">
      <c r="B12" s="441" t="s">
        <v>896</v>
      </c>
      <c r="C12" s="443" t="s">
        <v>649</v>
      </c>
      <c r="D12" s="444" t="s">
        <v>411</v>
      </c>
      <c r="E12" s="443" t="s">
        <v>810</v>
      </c>
      <c r="F12" s="443" t="s">
        <v>811</v>
      </c>
      <c r="G12" s="445">
        <v>4800000</v>
      </c>
      <c r="H12" s="443" t="s">
        <v>31</v>
      </c>
      <c r="I12" s="443" t="s">
        <v>116</v>
      </c>
      <c r="J12" s="461" t="s">
        <v>1048</v>
      </c>
      <c r="K12" s="442" t="s">
        <v>896</v>
      </c>
    </row>
    <row r="13" spans="2:11" x14ac:dyDescent="0.3">
      <c r="B13" s="441" t="s">
        <v>886</v>
      </c>
      <c r="C13" s="443" t="s">
        <v>221</v>
      </c>
      <c r="D13" s="444" t="s">
        <v>195</v>
      </c>
      <c r="E13" s="443" t="s">
        <v>1062</v>
      </c>
      <c r="F13" s="443" t="s">
        <v>1063</v>
      </c>
      <c r="G13" s="445">
        <v>66000000</v>
      </c>
      <c r="H13" s="443" t="s">
        <v>31</v>
      </c>
      <c r="I13" s="443" t="s">
        <v>105</v>
      </c>
      <c r="J13" s="458" t="s">
        <v>1047</v>
      </c>
      <c r="K13" s="442" t="s">
        <v>886</v>
      </c>
    </row>
    <row r="14" spans="2:11" x14ac:dyDescent="0.3">
      <c r="B14" s="441" t="s">
        <v>889</v>
      </c>
      <c r="C14" s="443" t="s">
        <v>1024</v>
      </c>
      <c r="D14" s="444" t="s">
        <v>1135</v>
      </c>
      <c r="E14" s="443" t="s">
        <v>536</v>
      </c>
      <c r="F14" s="443" t="s">
        <v>475</v>
      </c>
      <c r="G14" s="445">
        <v>16000000</v>
      </c>
      <c r="H14" s="443" t="s">
        <v>31</v>
      </c>
      <c r="I14" s="443" t="s">
        <v>105</v>
      </c>
      <c r="J14" s="458" t="s">
        <v>1047</v>
      </c>
      <c r="K14" s="442" t="s">
        <v>889</v>
      </c>
    </row>
    <row r="15" spans="2:11" ht="15.75" customHeight="1" x14ac:dyDescent="0.3">
      <c r="B15" s="441" t="s">
        <v>890</v>
      </c>
      <c r="C15" s="443" t="s">
        <v>217</v>
      </c>
      <c r="D15" s="482" t="s">
        <v>376</v>
      </c>
      <c r="E15" s="443" t="s">
        <v>475</v>
      </c>
      <c r="F15" s="443" t="s">
        <v>812</v>
      </c>
      <c r="G15" s="445">
        <v>3000000</v>
      </c>
      <c r="H15" s="443" t="s">
        <v>57</v>
      </c>
      <c r="I15" s="443" t="s">
        <v>81</v>
      </c>
      <c r="J15" s="478" t="s">
        <v>1046</v>
      </c>
      <c r="K15" s="442" t="s">
        <v>890</v>
      </c>
    </row>
    <row r="16" spans="2:11" x14ac:dyDescent="0.3">
      <c r="B16" s="441" t="s">
        <v>897</v>
      </c>
      <c r="C16" s="443" t="s">
        <v>122</v>
      </c>
      <c r="D16" s="444" t="s">
        <v>124</v>
      </c>
      <c r="E16" s="443" t="s">
        <v>814</v>
      </c>
      <c r="F16" s="443" t="s">
        <v>815</v>
      </c>
      <c r="G16" s="445">
        <v>12000000</v>
      </c>
      <c r="H16" s="443" t="s">
        <v>31</v>
      </c>
      <c r="I16" s="443" t="s">
        <v>105</v>
      </c>
      <c r="J16" s="458" t="s">
        <v>506</v>
      </c>
      <c r="K16" s="442" t="s">
        <v>897</v>
      </c>
    </row>
    <row r="17" spans="2:23" x14ac:dyDescent="0.3">
      <c r="B17" s="441" t="s">
        <v>898</v>
      </c>
      <c r="C17" s="443" t="s">
        <v>113</v>
      </c>
      <c r="D17" s="444" t="s">
        <v>115</v>
      </c>
      <c r="E17" s="443" t="s">
        <v>820</v>
      </c>
      <c r="F17" s="443" t="s">
        <v>821</v>
      </c>
      <c r="G17" s="445">
        <v>375000</v>
      </c>
      <c r="H17" s="443" t="s">
        <v>31</v>
      </c>
      <c r="I17" s="443" t="s">
        <v>105</v>
      </c>
      <c r="J17" s="458" t="s">
        <v>1047</v>
      </c>
      <c r="K17" s="442" t="s">
        <v>898</v>
      </c>
    </row>
    <row r="18" spans="2:23" x14ac:dyDescent="0.3">
      <c r="B18" s="441" t="s">
        <v>899</v>
      </c>
      <c r="C18" s="443" t="s">
        <v>750</v>
      </c>
      <c r="D18" s="444" t="s">
        <v>1135</v>
      </c>
      <c r="E18" s="443" t="s">
        <v>475</v>
      </c>
      <c r="F18" s="443" t="s">
        <v>624</v>
      </c>
      <c r="G18" s="445">
        <v>150000</v>
      </c>
      <c r="H18" s="443" t="s">
        <v>31</v>
      </c>
      <c r="I18" s="443" t="s">
        <v>105</v>
      </c>
      <c r="J18" s="458" t="s">
        <v>1047</v>
      </c>
      <c r="K18" s="442" t="s">
        <v>899</v>
      </c>
    </row>
    <row r="19" spans="2:23" x14ac:dyDescent="0.3">
      <c r="B19" s="441" t="s">
        <v>891</v>
      </c>
      <c r="C19" s="443" t="s">
        <v>181</v>
      </c>
      <c r="D19" s="482" t="s">
        <v>376</v>
      </c>
      <c r="E19" s="443" t="s">
        <v>614</v>
      </c>
      <c r="F19" s="443" t="s">
        <v>643</v>
      </c>
      <c r="G19" s="445">
        <v>475000</v>
      </c>
      <c r="H19" s="443" t="s">
        <v>31</v>
      </c>
      <c r="I19" s="443" t="s">
        <v>105</v>
      </c>
      <c r="J19" s="458" t="s">
        <v>1047</v>
      </c>
      <c r="K19" s="442" t="s">
        <v>891</v>
      </c>
    </row>
    <row r="20" spans="2:23" x14ac:dyDescent="0.3">
      <c r="B20" s="441" t="s">
        <v>900</v>
      </c>
      <c r="C20" s="443" t="s">
        <v>209</v>
      </c>
      <c r="D20" s="482" t="s">
        <v>376</v>
      </c>
      <c r="E20" s="443" t="s">
        <v>816</v>
      </c>
      <c r="F20" s="443" t="s">
        <v>823</v>
      </c>
      <c r="G20" s="445">
        <v>15000</v>
      </c>
      <c r="H20" s="443" t="s">
        <v>57</v>
      </c>
      <c r="I20" s="443" t="s">
        <v>81</v>
      </c>
      <c r="J20" s="478" t="s">
        <v>1060</v>
      </c>
      <c r="K20" s="442" t="s">
        <v>900</v>
      </c>
    </row>
    <row r="21" spans="2:23" ht="31.2" x14ac:dyDescent="0.3">
      <c r="B21" s="441" t="s">
        <v>892</v>
      </c>
      <c r="C21" s="443" t="s">
        <v>625</v>
      </c>
      <c r="D21" s="444" t="s">
        <v>1136</v>
      </c>
      <c r="E21" s="443" t="s">
        <v>651</v>
      </c>
      <c r="F21" s="443" t="s">
        <v>626</v>
      </c>
      <c r="G21" s="445">
        <v>2400000</v>
      </c>
      <c r="H21" s="443" t="s">
        <v>31</v>
      </c>
      <c r="I21" s="443" t="s">
        <v>105</v>
      </c>
      <c r="J21" s="458" t="s">
        <v>1047</v>
      </c>
      <c r="K21" s="442" t="s">
        <v>892</v>
      </c>
    </row>
    <row r="22" spans="2:23" x14ac:dyDescent="0.3">
      <c r="B22" s="441" t="s">
        <v>833</v>
      </c>
      <c r="C22" s="443" t="s">
        <v>410</v>
      </c>
      <c r="D22" s="444" t="s">
        <v>411</v>
      </c>
      <c r="E22" s="443" t="s">
        <v>800</v>
      </c>
      <c r="F22" s="443" t="s">
        <v>376</v>
      </c>
      <c r="G22" s="445">
        <v>8500000</v>
      </c>
      <c r="H22" s="443" t="s">
        <v>31</v>
      </c>
      <c r="I22" s="443" t="s">
        <v>32</v>
      </c>
      <c r="J22" s="458" t="s">
        <v>1047</v>
      </c>
      <c r="K22" s="442" t="s">
        <v>833</v>
      </c>
    </row>
    <row r="23" spans="2:23" x14ac:dyDescent="0.3">
      <c r="B23" s="441" t="s">
        <v>901</v>
      </c>
      <c r="C23" s="443" t="s">
        <v>426</v>
      </c>
      <c r="D23" s="444" t="s">
        <v>427</v>
      </c>
      <c r="E23" s="443" t="s">
        <v>817</v>
      </c>
      <c r="F23" s="443" t="s">
        <v>376</v>
      </c>
      <c r="G23" s="445">
        <v>297500</v>
      </c>
      <c r="H23" s="443" t="s">
        <v>57</v>
      </c>
      <c r="I23" s="443" t="s">
        <v>49</v>
      </c>
      <c r="J23" s="458" t="s">
        <v>506</v>
      </c>
      <c r="K23" s="442" t="s">
        <v>901</v>
      </c>
    </row>
    <row r="24" spans="2:23" ht="16.2" thickBot="1" x14ac:dyDescent="0.35">
      <c r="B24" s="447" t="s">
        <v>902</v>
      </c>
      <c r="C24" s="448" t="s">
        <v>155</v>
      </c>
      <c r="D24" s="533" t="s">
        <v>376</v>
      </c>
      <c r="E24" s="448" t="s">
        <v>818</v>
      </c>
      <c r="F24" s="448" t="s">
        <v>816</v>
      </c>
      <c r="G24" s="450">
        <v>30320</v>
      </c>
      <c r="H24" s="448" t="s">
        <v>57</v>
      </c>
      <c r="I24" s="448" t="s">
        <v>49</v>
      </c>
      <c r="J24" s="532" t="s">
        <v>1060</v>
      </c>
      <c r="K24" s="452" t="s">
        <v>902</v>
      </c>
    </row>
    <row r="25" spans="2:23" s="434" customFormat="1" ht="16.2" thickBot="1" x14ac:dyDescent="0.35">
      <c r="B25" s="453"/>
      <c r="C25" s="454"/>
      <c r="D25" s="455"/>
      <c r="E25" s="454"/>
      <c r="F25" s="454"/>
      <c r="G25" s="456"/>
      <c r="H25" s="457"/>
      <c r="I25" s="457"/>
      <c r="J25" s="457"/>
      <c r="K25" s="453"/>
    </row>
    <row r="26" spans="2:23" s="464" customFormat="1" ht="18" x14ac:dyDescent="0.3">
      <c r="B26" s="471" t="s">
        <v>1017</v>
      </c>
      <c r="C26" s="472"/>
      <c r="D26" s="473"/>
      <c r="E26" s="472"/>
      <c r="F26" s="472"/>
      <c r="G26" s="474"/>
      <c r="H26" s="475"/>
      <c r="I26" s="475"/>
      <c r="J26" s="475"/>
      <c r="K26" s="476"/>
      <c r="N26" s="998" t="s">
        <v>1434</v>
      </c>
      <c r="O26" s="998" t="s">
        <v>14</v>
      </c>
      <c r="R26" s="998" t="s">
        <v>31</v>
      </c>
      <c r="U26" s="998" t="s">
        <v>858</v>
      </c>
      <c r="W26" s="998" t="s">
        <v>1437</v>
      </c>
    </row>
    <row r="27" spans="2:23" s="433" customFormat="1" ht="16.2" thickBot="1" x14ac:dyDescent="0.35">
      <c r="B27" s="479" t="s">
        <v>1014</v>
      </c>
      <c r="C27" s="536" t="s">
        <v>2</v>
      </c>
      <c r="D27" s="537" t="s">
        <v>10</v>
      </c>
      <c r="E27" s="536" t="s">
        <v>3</v>
      </c>
      <c r="F27" s="536" t="s">
        <v>4</v>
      </c>
      <c r="G27" s="538" t="s">
        <v>1026</v>
      </c>
      <c r="H27" s="539" t="s">
        <v>13</v>
      </c>
      <c r="I27" s="539" t="s">
        <v>14</v>
      </c>
      <c r="J27" s="539" t="s">
        <v>15</v>
      </c>
      <c r="K27" s="480" t="s">
        <v>1014</v>
      </c>
      <c r="N27" s="997">
        <v>20</v>
      </c>
      <c r="O27" s="997" t="s">
        <v>1317</v>
      </c>
    </row>
    <row r="28" spans="2:23" ht="31.2" x14ac:dyDescent="0.3">
      <c r="B28" s="540" t="str">
        <f>MTP_points!X2</f>
        <v>M1</v>
      </c>
      <c r="C28" s="547" t="str">
        <f>MTP_points!D2</f>
        <v>Grafton-Smithtown-Don Knotts Intersection Improvements</v>
      </c>
      <c r="D28" s="541" t="str">
        <f>MTP_points!E2</f>
        <v>--</v>
      </c>
      <c r="E28" s="547" t="str">
        <f>MTP_points!F2</f>
        <v>Grafton/Don Knotts Blvd</v>
      </c>
      <c r="F28" s="547" t="str">
        <f>MTP_points!G2</f>
        <v>Smithtown Rd</v>
      </c>
      <c r="G28" s="877">
        <f>MTP_points!K2</f>
        <v>1992872.9700000002</v>
      </c>
      <c r="H28" s="546" t="str">
        <f>MTP_points!N2</f>
        <v>Roadway</v>
      </c>
      <c r="I28" s="873" t="str">
        <f>MTP_points!P2</f>
        <v>Intersection</v>
      </c>
      <c r="J28" s="874" t="s">
        <v>1049</v>
      </c>
      <c r="K28" s="543" t="str">
        <f>MTP_points!X2</f>
        <v>M1</v>
      </c>
      <c r="N28" s="431">
        <v>25</v>
      </c>
      <c r="O28" s="431" t="s">
        <v>237</v>
      </c>
      <c r="R28" s="431">
        <v>17</v>
      </c>
      <c r="S28" s="431" t="s">
        <v>237</v>
      </c>
      <c r="U28" s="431">
        <v>8</v>
      </c>
      <c r="V28" s="431" t="s">
        <v>237</v>
      </c>
    </row>
    <row r="29" spans="2:23" x14ac:dyDescent="0.3">
      <c r="B29" s="441" t="str">
        <f>MTP_points!X3</f>
        <v>M2</v>
      </c>
      <c r="C29" s="443" t="str">
        <f>MTP_points!D3</f>
        <v>Spruce-Pleasant Intersection Improvements</v>
      </c>
      <c r="D29" s="444" t="str">
        <f>MTP_points!E3</f>
        <v>--</v>
      </c>
      <c r="E29" s="443" t="str">
        <f>MTP_points!F3</f>
        <v>Spruce St</v>
      </c>
      <c r="F29" s="443" t="str">
        <f>MTP_points!G3</f>
        <v>Pleasant St</v>
      </c>
      <c r="G29" s="548">
        <f>MTP_points!K3</f>
        <v>254172.60000000003</v>
      </c>
      <c r="H29" s="446" t="str">
        <f>MTP_points!N3</f>
        <v>Roadway</v>
      </c>
      <c r="I29" s="872" t="str">
        <f>MTP_points!P3</f>
        <v>Intersection</v>
      </c>
      <c r="J29" s="459" t="s">
        <v>1049</v>
      </c>
      <c r="K29" s="442" t="str">
        <f>MTP_points!X3</f>
        <v>M2</v>
      </c>
      <c r="N29" s="431">
        <v>50</v>
      </c>
      <c r="O29" s="431" t="s">
        <v>1282</v>
      </c>
      <c r="R29" s="431">
        <f>COUNTIF(J$26:J$1048576,S29)</f>
        <v>11</v>
      </c>
      <c r="S29" s="461" t="s">
        <v>1048</v>
      </c>
      <c r="U29" s="431">
        <f>COUNTIF(J$26:J$1048576,V29)</f>
        <v>7</v>
      </c>
      <c r="V29" s="879" t="s">
        <v>672</v>
      </c>
    </row>
    <row r="30" spans="2:23" x14ac:dyDescent="0.3">
      <c r="B30" s="441" t="str">
        <f>MTP_points!X4</f>
        <v>M3</v>
      </c>
      <c r="C30" s="443" t="str">
        <f>MTP_points!D4</f>
        <v>Spruce-Walnut Intersection Improvements</v>
      </c>
      <c r="D30" s="444" t="str">
        <f>MTP_points!E4</f>
        <v>--</v>
      </c>
      <c r="E30" s="443" t="str">
        <f>MTP_points!F4</f>
        <v>Spruce St</v>
      </c>
      <c r="F30" s="443" t="str">
        <f>MTP_points!G4</f>
        <v>Walnut St</v>
      </c>
      <c r="G30" s="548">
        <f>MTP_points!K4</f>
        <v>232009.27200000003</v>
      </c>
      <c r="H30" s="446" t="str">
        <f>MTP_points!N4</f>
        <v>Roadway</v>
      </c>
      <c r="I30" s="872" t="str">
        <f>MTP_points!P4</f>
        <v>Intersection</v>
      </c>
      <c r="J30" s="459" t="s">
        <v>1049</v>
      </c>
      <c r="K30" s="442" t="str">
        <f>MTP_points!X4</f>
        <v>M3</v>
      </c>
      <c r="N30" s="431">
        <v>13</v>
      </c>
      <c r="O30" s="431" t="s">
        <v>1435</v>
      </c>
      <c r="R30" s="431">
        <f>COUNTIF(J$26:J$1048576,S30)</f>
        <v>19</v>
      </c>
      <c r="S30" s="878" t="s">
        <v>1047</v>
      </c>
      <c r="U30" s="431">
        <f>COUNTIF(J$26:J$1048576,V30)</f>
        <v>15</v>
      </c>
      <c r="V30" s="880" t="s">
        <v>1046</v>
      </c>
    </row>
    <row r="31" spans="2:23" x14ac:dyDescent="0.3">
      <c r="B31" s="441" t="str">
        <f>MTP_points!X5</f>
        <v>M4</v>
      </c>
      <c r="C31" s="443" t="str">
        <f>MTP_points!D5</f>
        <v>High-Walnut Intersection Improvements</v>
      </c>
      <c r="D31" s="444" t="str">
        <f>MTP_points!E5</f>
        <v>--</v>
      </c>
      <c r="E31" s="443" t="str">
        <f>MTP_points!F5</f>
        <v>High St</v>
      </c>
      <c r="F31" s="443" t="str">
        <f>MTP_points!G5</f>
        <v>Walnut St</v>
      </c>
      <c r="G31" s="548">
        <f>MTP_points!K5</f>
        <v>232009.27200000003</v>
      </c>
      <c r="H31" s="446" t="str">
        <f>MTP_points!N5</f>
        <v>Roadway</v>
      </c>
      <c r="I31" s="872" t="str">
        <f>MTP_points!P5</f>
        <v>Intersection</v>
      </c>
      <c r="J31" s="459" t="s">
        <v>1049</v>
      </c>
      <c r="K31" s="442" t="str">
        <f>MTP_points!X5</f>
        <v>M4</v>
      </c>
      <c r="R31" s="431">
        <f>COUNTIF(J$26:J$1048576,S31)</f>
        <v>5</v>
      </c>
      <c r="S31" s="462" t="s">
        <v>1050</v>
      </c>
      <c r="U31" s="431">
        <f>COUNTIF(J$26:J$1048576,V31)</f>
        <v>1</v>
      </c>
      <c r="V31" s="463" t="s">
        <v>1137</v>
      </c>
    </row>
    <row r="32" spans="2:23" x14ac:dyDescent="0.3">
      <c r="B32" s="441" t="str">
        <f>MTP_points!X6</f>
        <v>M6</v>
      </c>
      <c r="C32" s="443" t="str">
        <f>MTP_points!D6</f>
        <v>High-Willey Intersection Improvements</v>
      </c>
      <c r="D32" s="444" t="str">
        <f>MTP_points!E6</f>
        <v>--</v>
      </c>
      <c r="E32" s="443" t="str">
        <f>MTP_points!F6</f>
        <v>High St</v>
      </c>
      <c r="F32" s="443" t="str">
        <f>MTP_points!G6</f>
        <v>Willey St</v>
      </c>
      <c r="G32" s="548">
        <f>MTP_points!K6</f>
        <v>232009.27200000003</v>
      </c>
      <c r="H32" s="446" t="str">
        <f>MTP_points!N6</f>
        <v>Roadway</v>
      </c>
      <c r="I32" s="872" t="str">
        <f>MTP_points!P6</f>
        <v>Intersection</v>
      </c>
      <c r="J32" s="459" t="s">
        <v>1049</v>
      </c>
      <c r="K32" s="442" t="str">
        <f>MTP_points!X6</f>
        <v>M6</v>
      </c>
      <c r="R32" s="431">
        <f>COUNTIF(J$26:J$1048576,S32)</f>
        <v>6</v>
      </c>
      <c r="S32" s="463" t="s">
        <v>1051</v>
      </c>
      <c r="U32" s="431">
        <f>COUNTIF(J$26:J$1048576,V32)</f>
        <v>4</v>
      </c>
      <c r="V32" s="481" t="s">
        <v>1052</v>
      </c>
    </row>
    <row r="33" spans="2:25" ht="31.8" thickBot="1" x14ac:dyDescent="0.35">
      <c r="B33" s="441" t="str">
        <f>MTP_points!X7</f>
        <v>M7</v>
      </c>
      <c r="C33" s="443" t="str">
        <f>MTP_points!D7</f>
        <v>Richwood-North Willey Intersection Improvements</v>
      </c>
      <c r="D33" s="444" t="str">
        <f>MTP_points!E7</f>
        <v>--</v>
      </c>
      <c r="E33" s="443" t="str">
        <f>MTP_points!F7</f>
        <v>Richwood Ave</v>
      </c>
      <c r="F33" s="443" t="str">
        <f>MTP_points!G7</f>
        <v>North Willey St</v>
      </c>
      <c r="G33" s="548">
        <f>MTP_points!K7</f>
        <v>1498465.9800000002</v>
      </c>
      <c r="H33" s="446" t="str">
        <f>MTP_points!N7</f>
        <v>Roadway</v>
      </c>
      <c r="I33" s="872" t="str">
        <f>MTP_points!P7</f>
        <v>Intersection</v>
      </c>
      <c r="J33" s="459" t="s">
        <v>1049</v>
      </c>
      <c r="K33" s="442" t="str">
        <f>MTP_points!X7</f>
        <v>M7</v>
      </c>
      <c r="N33" s="999"/>
      <c r="O33" s="999"/>
      <c r="P33" s="999"/>
      <c r="Q33" s="999"/>
      <c r="R33" s="999"/>
      <c r="S33" s="999"/>
      <c r="T33" s="999"/>
      <c r="U33" s="999"/>
      <c r="V33" s="999"/>
      <c r="W33" s="999"/>
      <c r="X33" s="999"/>
      <c r="Y33" s="999"/>
    </row>
    <row r="34" spans="2:25" x14ac:dyDescent="0.3">
      <c r="B34" s="441" t="str">
        <f>MTP_points!X8</f>
        <v>M8</v>
      </c>
      <c r="C34" s="443" t="str">
        <f>MTP_points!D8</f>
        <v>University-Prospect Intersection Improvements</v>
      </c>
      <c r="D34" s="444" t="str">
        <f>MTP_points!E8</f>
        <v>--</v>
      </c>
      <c r="E34" s="443" t="str">
        <f>MTP_points!F8</f>
        <v>University Ave</v>
      </c>
      <c r="F34" s="443" t="str">
        <f>MTP_points!G8</f>
        <v>Prospect St</v>
      </c>
      <c r="G34" s="548">
        <f>MTP_points!K8</f>
        <v>632850.56999999995</v>
      </c>
      <c r="H34" s="446" t="str">
        <f>MTP_points!N8</f>
        <v>Roadway</v>
      </c>
      <c r="I34" s="872" t="str">
        <f>MTP_points!P8</f>
        <v>Intersection</v>
      </c>
      <c r="J34" s="459" t="s">
        <v>1049</v>
      </c>
      <c r="K34" s="442" t="str">
        <f>MTP_points!X8</f>
        <v>M8</v>
      </c>
      <c r="N34" s="433">
        <f>SUM(N27:N31)</f>
        <v>108</v>
      </c>
      <c r="R34" s="433">
        <f>SUM(R28:R33)</f>
        <v>58</v>
      </c>
      <c r="S34" s="433"/>
      <c r="T34" s="433"/>
      <c r="U34" s="433">
        <f>SUM(U28:U33)</f>
        <v>35</v>
      </c>
    </row>
    <row r="35" spans="2:25" x14ac:dyDescent="0.3">
      <c r="B35" s="441" t="str">
        <f>MTP_points!X9</f>
        <v>M9</v>
      </c>
      <c r="C35" s="443" t="str">
        <f>MTP_points!D9</f>
        <v>Stewart-Protzman Intersection Improvements</v>
      </c>
      <c r="D35" s="444" t="str">
        <f>MTP_points!E9</f>
        <v>--</v>
      </c>
      <c r="E35" s="443" t="str">
        <f>MTP_points!F9</f>
        <v>Stewart St</v>
      </c>
      <c r="F35" s="443" t="str">
        <f>MTP_points!G9</f>
        <v>Protzman St</v>
      </c>
      <c r="G35" s="548">
        <f>MTP_points!K9</f>
        <v>1079841.51</v>
      </c>
      <c r="H35" s="446" t="str">
        <f>MTP_points!N9</f>
        <v>Roadway</v>
      </c>
      <c r="I35" s="872" t="str">
        <f>MTP_points!P9</f>
        <v>Intersection</v>
      </c>
      <c r="J35" s="459" t="s">
        <v>1049</v>
      </c>
      <c r="K35" s="442" t="str">
        <f>MTP_points!X9</f>
        <v>M9</v>
      </c>
      <c r="N35" s="431">
        <f>SUM(N28:N30)</f>
        <v>88</v>
      </c>
      <c r="O35" s="431" t="s">
        <v>1436</v>
      </c>
    </row>
    <row r="36" spans="2:25" ht="31.2" x14ac:dyDescent="0.3">
      <c r="B36" s="441" t="str">
        <f>MTP_points!X10</f>
        <v>M10</v>
      </c>
      <c r="C36" s="443" t="str">
        <f>MTP_points!D10</f>
        <v>WV705-Stewartstown Intersection Improvements</v>
      </c>
      <c r="D36" s="444" t="str">
        <f>MTP_points!E10</f>
        <v>WV705</v>
      </c>
      <c r="E36" s="443" t="str">
        <f>MTP_points!F10</f>
        <v>WV 705</v>
      </c>
      <c r="F36" s="443" t="str">
        <f>MTP_points!G10</f>
        <v>Stewartstown Rd</v>
      </c>
      <c r="G36" s="548">
        <f>MTP_points!K10</f>
        <v>1258041.5100000002</v>
      </c>
      <c r="H36" s="446" t="str">
        <f>MTP_points!N10</f>
        <v>Roadway</v>
      </c>
      <c r="I36" s="872" t="str">
        <f>MTP_points!P10</f>
        <v>Intersection</v>
      </c>
      <c r="J36" s="459" t="s">
        <v>1049</v>
      </c>
      <c r="K36" s="442" t="str">
        <f>MTP_points!X10</f>
        <v>M10</v>
      </c>
    </row>
    <row r="37" spans="2:25" ht="31.2" x14ac:dyDescent="0.3">
      <c r="B37" s="441" t="str">
        <f>MTP_points!X11</f>
        <v>M11</v>
      </c>
      <c r="C37" s="443" t="str">
        <f>MTP_points!D11</f>
        <v>WV705-Burroughs-Van Voorhis Intersection Improvements</v>
      </c>
      <c r="D37" s="444" t="str">
        <f>MTP_points!E11</f>
        <v>WV705</v>
      </c>
      <c r="E37" s="443" t="str">
        <f>MTP_points!F11</f>
        <v>WV 705/Burroughs St</v>
      </c>
      <c r="F37" s="443" t="str">
        <f>MTP_points!G11</f>
        <v>Van Voorhis Rd</v>
      </c>
      <c r="G37" s="548">
        <f>MTP_points!K11</f>
        <v>1946478.6</v>
      </c>
      <c r="H37" s="446" t="str">
        <f>MTP_points!N11</f>
        <v>Roadway</v>
      </c>
      <c r="I37" s="872" t="str">
        <f>MTP_points!P11</f>
        <v>Intersection</v>
      </c>
      <c r="J37" s="459" t="s">
        <v>1049</v>
      </c>
      <c r="K37" s="442" t="str">
        <f>MTP_points!X11</f>
        <v>M11</v>
      </c>
    </row>
    <row r="38" spans="2:25" ht="31.2" x14ac:dyDescent="0.3">
      <c r="B38" s="441" t="str">
        <f>MTP_points!X12</f>
        <v>M12</v>
      </c>
      <c r="C38" s="443" t="str">
        <f>MTP_points!D12</f>
        <v>Van Voorhis-West Run Intersection Improvements</v>
      </c>
      <c r="D38" s="444" t="str">
        <f>MTP_points!E12</f>
        <v>--</v>
      </c>
      <c r="E38" s="443" t="str">
        <f>MTP_points!F12</f>
        <v>Van Voorhis Rd</v>
      </c>
      <c r="F38" s="443" t="str">
        <f>MTP_points!G12</f>
        <v>West Run Rd</v>
      </c>
      <c r="G38" s="548">
        <f>MTP_points!K12</f>
        <v>471638.97000000003</v>
      </c>
      <c r="H38" s="446" t="str">
        <f>MTP_points!N12</f>
        <v>Roadway</v>
      </c>
      <c r="I38" s="872" t="str">
        <f>MTP_points!P12</f>
        <v>Intersection</v>
      </c>
      <c r="J38" s="459" t="s">
        <v>1049</v>
      </c>
      <c r="K38" s="442" t="str">
        <f>MTP_points!X12</f>
        <v>M12</v>
      </c>
    </row>
    <row r="39" spans="2:25" ht="31.2" x14ac:dyDescent="0.3">
      <c r="B39" s="441" t="str">
        <f>MTP_points!X13</f>
        <v>M14</v>
      </c>
      <c r="C39" s="443" t="str">
        <f>MTP_points!D13</f>
        <v>Point Marion-Stewartstown Intersection Improvements</v>
      </c>
      <c r="D39" s="444" t="str">
        <f>MTP_points!E13</f>
        <v>--</v>
      </c>
      <c r="E39" s="443" t="str">
        <f>MTP_points!F13</f>
        <v>Point Marion Rd</v>
      </c>
      <c r="F39" s="443" t="str">
        <f>MTP_points!G13</f>
        <v>Stewartstown Rd</v>
      </c>
      <c r="G39" s="548">
        <f>MTP_points!K13</f>
        <v>1990360.4045454548</v>
      </c>
      <c r="H39" s="446" t="str">
        <f>MTP_points!N13</f>
        <v>Roadway</v>
      </c>
      <c r="I39" s="872" t="str">
        <f>MTP_points!P13</f>
        <v>Intersection</v>
      </c>
      <c r="J39" s="459" t="s">
        <v>1049</v>
      </c>
      <c r="K39" s="442" t="str">
        <f>MTP_points!X13</f>
        <v>M14</v>
      </c>
    </row>
    <row r="40" spans="2:25" ht="31.2" x14ac:dyDescent="0.3">
      <c r="B40" s="441" t="str">
        <f>MTP_points!X14</f>
        <v>M15</v>
      </c>
      <c r="C40" s="443" t="str">
        <f>MTP_points!D14</f>
        <v>Hartman Run-Airport Access Intersection Improvements</v>
      </c>
      <c r="D40" s="444" t="str">
        <f>MTP_points!E14</f>
        <v>--</v>
      </c>
      <c r="E40" s="443" t="str">
        <f>MTP_points!F14</f>
        <v>Hartman Run Rd</v>
      </c>
      <c r="F40" s="443" t="str">
        <f>MTP_points!G14</f>
        <v>Airport Access</v>
      </c>
      <c r="G40" s="548">
        <f>MTP_points!K14</f>
        <v>1192440.1772727272</v>
      </c>
      <c r="H40" s="446" t="str">
        <f>MTP_points!N14</f>
        <v>Roadway</v>
      </c>
      <c r="I40" s="872" t="str">
        <f>MTP_points!P14</f>
        <v>Intersection</v>
      </c>
      <c r="J40" s="459" t="s">
        <v>1049</v>
      </c>
      <c r="K40" s="442" t="str">
        <f>MTP_points!X14</f>
        <v>M15</v>
      </c>
    </row>
    <row r="41" spans="2:25" x14ac:dyDescent="0.3">
      <c r="B41" s="441" t="str">
        <f>MTP_points!X15</f>
        <v>M16</v>
      </c>
      <c r="C41" s="443" t="str">
        <f>MTP_points!D15</f>
        <v>Cheat-Old Cheat Intersection Improvements</v>
      </c>
      <c r="D41" s="444" t="str">
        <f>MTP_points!E15</f>
        <v>--</v>
      </c>
      <c r="E41" s="443" t="str">
        <f>MTP_points!F15</f>
        <v>Cheat Rd</v>
      </c>
      <c r="F41" s="443" t="str">
        <f>MTP_points!G15</f>
        <v>Old Cheat Rd</v>
      </c>
      <c r="G41" s="548">
        <f>MTP_points!K15</f>
        <v>174638.97000000003</v>
      </c>
      <c r="H41" s="446" t="str">
        <f>MTP_points!N15</f>
        <v>Roadway</v>
      </c>
      <c r="I41" s="872" t="str">
        <f>MTP_points!P15</f>
        <v>Intersection</v>
      </c>
      <c r="J41" s="459" t="s">
        <v>1049</v>
      </c>
      <c r="K41" s="442" t="str">
        <f>MTP_points!X15</f>
        <v>M16</v>
      </c>
    </row>
    <row r="42" spans="2:25" ht="31.2" x14ac:dyDescent="0.3">
      <c r="B42" s="441" t="str">
        <f>MTP_points!X16</f>
        <v>M17</v>
      </c>
      <c r="C42" s="443" t="str">
        <f>MTP_points!D16</f>
        <v>Cheat-Tyrone Avery Intersection Improvements</v>
      </c>
      <c r="D42" s="444" t="str">
        <f>MTP_points!E16</f>
        <v>--</v>
      </c>
      <c r="E42" s="443" t="str">
        <f>MTP_points!F16</f>
        <v>Cheat Rd</v>
      </c>
      <c r="F42" s="443" t="str">
        <f>MTP_points!G16</f>
        <v>Tyrone-Avery Rd</v>
      </c>
      <c r="G42" s="548">
        <f>MTP_points!K16</f>
        <v>763981.29</v>
      </c>
      <c r="H42" s="446" t="str">
        <f>MTP_points!N16</f>
        <v>Roadway</v>
      </c>
      <c r="I42" s="872" t="str">
        <f>MTP_points!P16</f>
        <v>Intersection</v>
      </c>
      <c r="J42" s="459" t="s">
        <v>1049</v>
      </c>
      <c r="K42" s="442" t="str">
        <f>MTP_points!X16</f>
        <v>M17</v>
      </c>
    </row>
    <row r="43" spans="2:25" ht="31.2" x14ac:dyDescent="0.3">
      <c r="B43" s="441" t="str">
        <f>MTP_points!X17</f>
        <v>M18</v>
      </c>
      <c r="C43" s="443" t="str">
        <f>MTP_points!D17</f>
        <v>Tyrone-Tyrone Avery Intersection Improvements</v>
      </c>
      <c r="D43" s="444" t="str">
        <f>MTP_points!E17</f>
        <v>--</v>
      </c>
      <c r="E43" s="443" t="str">
        <f>MTP_points!F17</f>
        <v>Tyrone Rd</v>
      </c>
      <c r="F43" s="443" t="str">
        <f>MTP_points!G17</f>
        <v>Tyrone-Avery Rd</v>
      </c>
      <c r="G43" s="548">
        <f>MTP_points!K17</f>
        <v>392666.67000000004</v>
      </c>
      <c r="H43" s="446" t="str">
        <f>MTP_points!N17</f>
        <v>Roadway</v>
      </c>
      <c r="I43" s="872" t="str">
        <f>MTP_points!P17</f>
        <v>Intersection</v>
      </c>
      <c r="J43" s="459" t="s">
        <v>1049</v>
      </c>
      <c r="K43" s="442" t="str">
        <f>MTP_points!X17</f>
        <v>M18</v>
      </c>
    </row>
    <row r="44" spans="2:25" x14ac:dyDescent="0.3">
      <c r="B44" s="441" t="str">
        <f>MTP_points!X18</f>
        <v>M19</v>
      </c>
      <c r="C44" s="443" t="str">
        <f>MTP_points!D18</f>
        <v>WV100-Fort Martin Intersection Improvements</v>
      </c>
      <c r="D44" s="444" t="str">
        <f>MTP_points!E18</f>
        <v>WV100</v>
      </c>
      <c r="E44" s="443" t="str">
        <f>MTP_points!F18</f>
        <v>WV100</v>
      </c>
      <c r="F44" s="443" t="str">
        <f>MTP_points!G18</f>
        <v>Fort Martin Rd</v>
      </c>
      <c r="G44" s="548">
        <f>MTP_points!K18</f>
        <v>1074920.22</v>
      </c>
      <c r="H44" s="446" t="str">
        <f>MTP_points!N18</f>
        <v>Roadway</v>
      </c>
      <c r="I44" s="872" t="str">
        <f>MTP_points!P18</f>
        <v>Intersection</v>
      </c>
      <c r="J44" s="459" t="s">
        <v>1049</v>
      </c>
      <c r="K44" s="442" t="str">
        <f>MTP_points!X18</f>
        <v>M19</v>
      </c>
    </row>
    <row r="45" spans="2:25" ht="31.2" x14ac:dyDescent="0.3">
      <c r="B45" s="441" t="str">
        <f>MTP_points!X19</f>
        <v>M20</v>
      </c>
      <c r="C45" s="443" t="str">
        <f>MTP_points!D19</f>
        <v>WV7-Deckers Creek-Mineral Pedestrian Improvements</v>
      </c>
      <c r="D45" s="444" t="str">
        <f>MTP_points!E19</f>
        <v>WV7</v>
      </c>
      <c r="E45" s="443" t="str">
        <f>MTP_points!F19</f>
        <v>Mineral Ave</v>
      </c>
      <c r="F45" s="443" t="str">
        <f>MTP_points!G19</f>
        <v>Deckers Creek Blvd</v>
      </c>
      <c r="G45" s="548">
        <f>MTP_points!K19</f>
        <v>379120.49999999994</v>
      </c>
      <c r="H45" s="446" t="str">
        <f>MTP_points!N19</f>
        <v>Roadway</v>
      </c>
      <c r="I45" s="872" t="str">
        <f>MTP_points!P19</f>
        <v>Intersection</v>
      </c>
      <c r="J45" s="459" t="s">
        <v>1049</v>
      </c>
      <c r="K45" s="442" t="str">
        <f>MTP_points!X19</f>
        <v>M20</v>
      </c>
    </row>
    <row r="46" spans="2:25" x14ac:dyDescent="0.3">
      <c r="B46" s="441" t="str">
        <f>MTP_points!X20</f>
        <v>M21</v>
      </c>
      <c r="C46" s="443" t="str">
        <f>MTP_points!D20</f>
        <v>University-Walnut Pedestrian Improvements</v>
      </c>
      <c r="D46" s="444" t="str">
        <f>MTP_points!E20</f>
        <v>--</v>
      </c>
      <c r="E46" s="443" t="str">
        <f>MTP_points!F20</f>
        <v>University Ave</v>
      </c>
      <c r="F46" s="443" t="str">
        <f>MTP_points!G20</f>
        <v>Walnut St</v>
      </c>
      <c r="G46" s="548">
        <f>MTP_points!K20</f>
        <v>430851.96</v>
      </c>
      <c r="H46" s="446" t="str">
        <f>MTP_points!N20</f>
        <v>Roadway</v>
      </c>
      <c r="I46" s="872" t="str">
        <f>MTP_points!P20</f>
        <v>Intersection</v>
      </c>
      <c r="J46" s="459" t="s">
        <v>1049</v>
      </c>
      <c r="K46" s="442" t="str">
        <f>MTP_points!X20</f>
        <v>M21</v>
      </c>
    </row>
    <row r="47" spans="2:25" ht="31.2" x14ac:dyDescent="0.3">
      <c r="B47" s="441" t="str">
        <f>MTP_points!X21</f>
        <v>M22</v>
      </c>
      <c r="C47" s="443" t="str">
        <f>MTP_points!D21</f>
        <v>Don Knotts-University-Pleasant Pedestrian Improvements</v>
      </c>
      <c r="D47" s="444" t="str">
        <f>MTP_points!E21</f>
        <v>US19</v>
      </c>
      <c r="E47" s="443" t="str">
        <f>MTP_points!F21</f>
        <v>University/Don Knotts Blvd</v>
      </c>
      <c r="F47" s="443" t="str">
        <f>MTP_points!G21</f>
        <v>Pleasant St</v>
      </c>
      <c r="G47" s="548">
        <f>MTP_points!K21</f>
        <v>430851.96</v>
      </c>
      <c r="H47" s="446" t="str">
        <f>MTP_points!N21</f>
        <v>Roadway</v>
      </c>
      <c r="I47" s="872" t="str">
        <f>MTP_points!P21</f>
        <v>Intersection</v>
      </c>
      <c r="J47" s="459" t="s">
        <v>1049</v>
      </c>
      <c r="K47" s="442" t="str">
        <f>MTP_points!X21</f>
        <v>M22</v>
      </c>
    </row>
    <row r="48" spans="2:25" x14ac:dyDescent="0.3">
      <c r="B48" s="441" t="str">
        <f>MTP_points!X22</f>
        <v>M23</v>
      </c>
      <c r="C48" s="443" t="str">
        <f>MTP_points!D22</f>
        <v>Grumbeins Island Improvements</v>
      </c>
      <c r="D48" s="444" t="str">
        <f>MTP_points!E22</f>
        <v>--</v>
      </c>
      <c r="E48" s="443" t="str">
        <f>MTP_points!F22</f>
        <v>University Ave</v>
      </c>
      <c r="F48" s="443" t="str">
        <f>MTP_points!G22</f>
        <v>College Ave</v>
      </c>
      <c r="G48" s="548">
        <f>MTP_points!K22</f>
        <v>3419999.9999999995</v>
      </c>
      <c r="H48" s="446" t="str">
        <f>MTP_points!N22</f>
        <v>Roadway</v>
      </c>
      <c r="I48" s="872" t="str">
        <f>MTP_points!P22</f>
        <v>Intersection</v>
      </c>
      <c r="J48" s="459" t="s">
        <v>1049</v>
      </c>
      <c r="K48" s="442" t="str">
        <f>MTP_points!X22</f>
        <v>M23</v>
      </c>
    </row>
    <row r="49" spans="2:15" x14ac:dyDescent="0.3">
      <c r="B49" s="441" t="str">
        <f>MTP_points!X23</f>
        <v>M24</v>
      </c>
      <c r="C49" s="443" t="str">
        <f>MTP_points!D23</f>
        <v>High-Foundry Pedestrian Improvements</v>
      </c>
      <c r="D49" s="444" t="str">
        <f>MTP_points!E23</f>
        <v>--</v>
      </c>
      <c r="E49" s="443" t="str">
        <f>MTP_points!F23</f>
        <v>High St</v>
      </c>
      <c r="F49" s="443" t="str">
        <f>MTP_points!G23</f>
        <v>Foundry Ave</v>
      </c>
      <c r="G49" s="548">
        <f>MTP_points!K23</f>
        <v>290468.97000000003</v>
      </c>
      <c r="H49" s="446" t="str">
        <f>MTP_points!N23</f>
        <v>Roadway</v>
      </c>
      <c r="I49" s="872" t="str">
        <f>MTP_points!P23</f>
        <v>Intersection</v>
      </c>
      <c r="J49" s="459" t="s">
        <v>1049</v>
      </c>
      <c r="K49" s="442" t="str">
        <f>MTP_points!X23</f>
        <v>M24</v>
      </c>
    </row>
    <row r="50" spans="2:15" x14ac:dyDescent="0.3">
      <c r="B50" s="441" t="str">
        <f>MTP_points!X24</f>
        <v>M25</v>
      </c>
      <c r="C50" s="443" t="str">
        <f>MTP_points!D24</f>
        <v>Chestnut-Walnut Pedestrian Improvements</v>
      </c>
      <c r="D50" s="444" t="str">
        <f>MTP_points!E24</f>
        <v>US119</v>
      </c>
      <c r="E50" s="443" t="str">
        <f>MTP_points!F24</f>
        <v>Chestnut St</v>
      </c>
      <c r="F50" s="443" t="str">
        <f>MTP_points!G24</f>
        <v>Walnut St</v>
      </c>
      <c r="G50" s="548">
        <f>MTP_points!K24</f>
        <v>104151.96000000002</v>
      </c>
      <c r="H50" s="446" t="str">
        <f>MTP_points!N24</f>
        <v>Roadway</v>
      </c>
      <c r="I50" s="872" t="str">
        <f>MTP_points!P24</f>
        <v>Intersection</v>
      </c>
      <c r="J50" s="459" t="s">
        <v>1049</v>
      </c>
      <c r="K50" s="442" t="str">
        <f>MTP_points!X24</f>
        <v>M25</v>
      </c>
    </row>
    <row r="51" spans="2:15" ht="31.2" x14ac:dyDescent="0.3">
      <c r="B51" s="441" t="str">
        <f>MTP_points!X25</f>
        <v>M26</v>
      </c>
      <c r="C51" s="443" t="str">
        <f>MTP_points!D25</f>
        <v>Patteson Dr-Morrill Way Pedestrian Improvements</v>
      </c>
      <c r="D51" s="444" t="str">
        <f>MTP_points!E25</f>
        <v>--</v>
      </c>
      <c r="E51" s="443" t="str">
        <f>MTP_points!F25</f>
        <v>Patteson Dr</v>
      </c>
      <c r="F51" s="443" t="str">
        <f>MTP_points!G25</f>
        <v>Morrill Way</v>
      </c>
      <c r="G51" s="548">
        <f>MTP_points!K25</f>
        <v>247115.88</v>
      </c>
      <c r="H51" s="446" t="str">
        <f>MTP_points!N25</f>
        <v>Roadway</v>
      </c>
      <c r="I51" s="872" t="str">
        <f>MTP_points!P25</f>
        <v>Intersection</v>
      </c>
      <c r="J51" s="459" t="s">
        <v>1049</v>
      </c>
      <c r="K51" s="442" t="str">
        <f>MTP_points!X25</f>
        <v>M26</v>
      </c>
    </row>
    <row r="52" spans="2:15" ht="31.2" x14ac:dyDescent="0.3">
      <c r="B52" s="441" t="str">
        <f>MTP_points!X26</f>
        <v>M27</v>
      </c>
      <c r="C52" s="443" t="str">
        <f>MTP_points!D26</f>
        <v>Patteson Dr-University Ave-Van Voorhis Rd Pedestrian Improvements</v>
      </c>
      <c r="D52" s="444" t="str">
        <f>MTP_points!E26</f>
        <v>--</v>
      </c>
      <c r="E52" s="443" t="str">
        <f>MTP_points!F26</f>
        <v>Patteson Dr</v>
      </c>
      <c r="F52" s="443" t="str">
        <f>MTP_points!G26</f>
        <v>University Ave</v>
      </c>
      <c r="G52" s="548">
        <f>MTP_points!K26</f>
        <v>293049.90000000002</v>
      </c>
      <c r="H52" s="446" t="str">
        <f>MTP_points!N26</f>
        <v>Roadway</v>
      </c>
      <c r="I52" s="872" t="str">
        <f>MTP_points!P26</f>
        <v>Intersection</v>
      </c>
      <c r="J52" s="459" t="s">
        <v>1049</v>
      </c>
      <c r="K52" s="442" t="str">
        <f>MTP_points!X26</f>
        <v>M27</v>
      </c>
    </row>
    <row r="53" spans="2:15" ht="31.8" thickBot="1" x14ac:dyDescent="0.35">
      <c r="B53" s="447" t="str">
        <f>MTP_points!X27</f>
        <v>M28</v>
      </c>
      <c r="C53" s="448" t="str">
        <f>MTP_points!D27</f>
        <v>University Ave-College Ave Pedestrian Improvements</v>
      </c>
      <c r="D53" s="449" t="str">
        <f>MTP_points!E27</f>
        <v>--</v>
      </c>
      <c r="E53" s="448" t="str">
        <f>MTP_points!F27</f>
        <v>University Ave</v>
      </c>
      <c r="F53" s="448" t="str">
        <f>MTP_points!G27</f>
        <v>College Ave</v>
      </c>
      <c r="G53" s="549">
        <f>MTP_points!K27</f>
        <v>290468.97000000003</v>
      </c>
      <c r="H53" s="451" t="str">
        <f>MTP_points!N27</f>
        <v>Roadway</v>
      </c>
      <c r="I53" s="875" t="str">
        <f>MTP_points!P27</f>
        <v>Intersection</v>
      </c>
      <c r="J53" s="460" t="s">
        <v>1049</v>
      </c>
      <c r="K53" s="452" t="str">
        <f>MTP_points!X27</f>
        <v>M28</v>
      </c>
    </row>
    <row r="54" spans="2:15" s="434" customFormat="1" ht="16.2" thickBot="1" x14ac:dyDescent="0.35">
      <c r="B54" s="453"/>
      <c r="C54" s="454"/>
      <c r="D54" s="455"/>
      <c r="E54" s="454"/>
      <c r="F54" s="454"/>
      <c r="G54" s="456"/>
      <c r="H54" s="457"/>
      <c r="I54" s="457"/>
      <c r="J54" s="457"/>
      <c r="K54" s="453"/>
    </row>
    <row r="55" spans="2:15" s="464" customFormat="1" ht="18" x14ac:dyDescent="0.3">
      <c r="B55" s="471" t="s">
        <v>1018</v>
      </c>
      <c r="C55" s="472"/>
      <c r="D55" s="473"/>
      <c r="E55" s="472"/>
      <c r="F55" s="472"/>
      <c r="G55" s="474"/>
      <c r="H55" s="475"/>
      <c r="I55" s="475"/>
      <c r="J55" s="475"/>
      <c r="K55" s="476"/>
    </row>
    <row r="56" spans="2:15" s="433" customFormat="1" ht="16.2" thickBot="1" x14ac:dyDescent="0.35">
      <c r="B56" s="479" t="s">
        <v>1014</v>
      </c>
      <c r="C56" s="536" t="s">
        <v>2</v>
      </c>
      <c r="D56" s="537" t="s">
        <v>10</v>
      </c>
      <c r="E56" s="536" t="s">
        <v>3</v>
      </c>
      <c r="F56" s="536" t="s">
        <v>4</v>
      </c>
      <c r="G56" s="538" t="s">
        <v>1026</v>
      </c>
      <c r="H56" s="539" t="s">
        <v>13</v>
      </c>
      <c r="I56" s="539" t="s">
        <v>14</v>
      </c>
      <c r="J56" s="539" t="s">
        <v>15</v>
      </c>
      <c r="K56" s="480" t="s">
        <v>1014</v>
      </c>
    </row>
    <row r="57" spans="2:15" x14ac:dyDescent="0.3">
      <c r="B57" s="540" t="str">
        <f>'MTP_lines-polygons'!E2</f>
        <v>M45</v>
      </c>
      <c r="C57" s="547" t="str">
        <f>'MTP_lines-polygons'!F2</f>
        <v>Van Voorhis Road Improvement - Segment 2</v>
      </c>
      <c r="D57" s="541" t="str">
        <f>'MTP_lines-polygons'!G2</f>
        <v>CO59</v>
      </c>
      <c r="E57" s="547" t="str">
        <f>'MTP_lines-polygons'!H2</f>
        <v>West Run Rd</v>
      </c>
      <c r="F57" s="547" t="str">
        <f>'MTP_lines-polygons'!I2</f>
        <v>Bakers Ridge Rd</v>
      </c>
      <c r="G57" s="882">
        <f>'MTP_lines-polygons'!P2</f>
        <v>6441023.735380576</v>
      </c>
      <c r="H57" s="546" t="str">
        <f>'MTP_lines-polygons'!Q2</f>
        <v>Roadway</v>
      </c>
      <c r="I57" s="546" t="str">
        <f>'MTP_lines-polygons'!R2</f>
        <v>FY Deficiency</v>
      </c>
      <c r="J57" s="545" t="s">
        <v>1048</v>
      </c>
      <c r="K57" s="543" t="str">
        <f>'MTP_lines-polygons'!E2</f>
        <v>M45</v>
      </c>
      <c r="N57" s="431" t="s">
        <v>116</v>
      </c>
      <c r="O57" s="461" t="s">
        <v>1048</v>
      </c>
    </row>
    <row r="58" spans="2:15" x14ac:dyDescent="0.3">
      <c r="B58" s="441" t="str">
        <f>'MTP_lines-polygons'!E3</f>
        <v>M48</v>
      </c>
      <c r="C58" s="443" t="str">
        <f>'MTP_lines-polygons'!F3</f>
        <v>Stewartstown Rd Improvements</v>
      </c>
      <c r="D58" s="444" t="str">
        <f>'MTP_lines-polygons'!G3</f>
        <v>WV 67</v>
      </c>
      <c r="E58" s="443" t="str">
        <f>'MTP_lines-polygons'!H3</f>
        <v>WV 705</v>
      </c>
      <c r="F58" s="443" t="str">
        <f>'MTP_lines-polygons'!I3</f>
        <v>Point Marion Rd</v>
      </c>
      <c r="G58" s="487">
        <f>'MTP_lines-polygons'!P3</f>
        <v>13679999.999999998</v>
      </c>
      <c r="H58" s="446" t="str">
        <f>'MTP_lines-polygons'!Q3</f>
        <v>Roadway</v>
      </c>
      <c r="I58" s="446" t="str">
        <f>'MTP_lines-polygons'!R3</f>
        <v>MTP Project Corridor</v>
      </c>
      <c r="J58" s="461" t="s">
        <v>1048</v>
      </c>
      <c r="K58" s="442" t="str">
        <f>'MTP_lines-polygons'!E3</f>
        <v>M48</v>
      </c>
      <c r="N58" s="431" t="s">
        <v>672</v>
      </c>
      <c r="O58" s="879" t="s">
        <v>672</v>
      </c>
    </row>
    <row r="59" spans="2:15" x14ac:dyDescent="0.3">
      <c r="B59" s="441" t="str">
        <f>'MTP_lines-polygons'!E4</f>
        <v>M49a</v>
      </c>
      <c r="C59" s="443" t="str">
        <f>'MTP_lines-polygons'!F4</f>
        <v>University Ave Complete Street - Segment 1</v>
      </c>
      <c r="D59" s="444" t="str">
        <f>'MTP_lines-polygons'!G4</f>
        <v>--</v>
      </c>
      <c r="E59" s="443" t="str">
        <f>'MTP_lines-polygons'!H4</f>
        <v>Boyers Ave</v>
      </c>
      <c r="F59" s="443" t="str">
        <f>'MTP_lines-polygons'!I4</f>
        <v>Patteson/Van Voorhis Rd</v>
      </c>
      <c r="G59" s="487">
        <f>'MTP_lines-polygons'!P4</f>
        <v>17311594.131579097</v>
      </c>
      <c r="H59" s="446" t="str">
        <f>'MTP_lines-polygons'!Q4</f>
        <v>Roadway</v>
      </c>
      <c r="I59" s="446" t="str">
        <f>'MTP_lines-polygons'!R4</f>
        <v>MTP Project Corridor</v>
      </c>
      <c r="J59" s="879" t="s">
        <v>672</v>
      </c>
      <c r="K59" s="442" t="str">
        <f>'MTP_lines-polygons'!E4</f>
        <v>M49a</v>
      </c>
      <c r="N59" s="431" t="s">
        <v>105</v>
      </c>
      <c r="O59" s="878" t="s">
        <v>1047</v>
      </c>
    </row>
    <row r="60" spans="2:15" x14ac:dyDescent="0.3">
      <c r="B60" s="441" t="str">
        <f>'MTP_lines-polygons'!E5</f>
        <v>M49b</v>
      </c>
      <c r="C60" s="443" t="str">
        <f>'MTP_lines-polygons'!F5</f>
        <v>University Ave Complete Street - Segment 2</v>
      </c>
      <c r="D60" s="444" t="str">
        <f>'MTP_lines-polygons'!G5</f>
        <v>--</v>
      </c>
      <c r="E60" s="443" t="str">
        <f>'MTP_lines-polygons'!H5</f>
        <v>Patteson/Van Voorhis Rd</v>
      </c>
      <c r="F60" s="443" t="str">
        <f>'MTP_lines-polygons'!I5</f>
        <v>8th St</v>
      </c>
      <c r="G60" s="487">
        <f>'MTP_lines-polygons'!P5</f>
        <v>6307204.2228852138</v>
      </c>
      <c r="H60" s="446" t="str">
        <f>'MTP_lines-polygons'!Q5</f>
        <v>Roadway</v>
      </c>
      <c r="I60" s="446" t="str">
        <f>'MTP_lines-polygons'!R5</f>
        <v>FY Deficiency</v>
      </c>
      <c r="J60" s="879" t="s">
        <v>672</v>
      </c>
      <c r="K60" s="442" t="str">
        <f>'MTP_lines-polygons'!E5</f>
        <v>M49b</v>
      </c>
      <c r="N60" s="431" t="s">
        <v>968</v>
      </c>
      <c r="O60" s="880" t="s">
        <v>1046</v>
      </c>
    </row>
    <row r="61" spans="2:15" x14ac:dyDescent="0.3">
      <c r="B61" s="441" t="str">
        <f>'MTP_lines-polygons'!E6</f>
        <v>M49c</v>
      </c>
      <c r="C61" s="443" t="str">
        <f>'MTP_lines-polygons'!F6</f>
        <v>University Ave Complete Street - Segment 3</v>
      </c>
      <c r="D61" s="444" t="str">
        <f>'MTP_lines-polygons'!G6</f>
        <v>--</v>
      </c>
      <c r="E61" s="443" t="str">
        <f>'MTP_lines-polygons'!H6</f>
        <v>8th St</v>
      </c>
      <c r="F61" s="443" t="str">
        <f>'MTP_lines-polygons'!I6</f>
        <v>Fayette St/Beechurst Ave</v>
      </c>
      <c r="G61" s="487">
        <f>'MTP_lines-polygons'!P6</f>
        <v>17421201.645535681</v>
      </c>
      <c r="H61" s="446" t="str">
        <f>'MTP_lines-polygons'!Q6</f>
        <v>Roadway</v>
      </c>
      <c r="I61" s="446" t="str">
        <f>'MTP_lines-polygons'!R6</f>
        <v>MTP Project Corridor</v>
      </c>
      <c r="J61" s="879" t="s">
        <v>672</v>
      </c>
      <c r="K61" s="442" t="str">
        <f>'MTP_lines-polygons'!E6</f>
        <v>M49c</v>
      </c>
      <c r="N61" s="431" t="s">
        <v>48</v>
      </c>
      <c r="O61" s="880" t="s">
        <v>1046</v>
      </c>
    </row>
    <row r="62" spans="2:15" ht="15.75" customHeight="1" x14ac:dyDescent="0.3">
      <c r="B62" s="441" t="str">
        <f>'MTP_lines-polygons'!E7</f>
        <v>M50</v>
      </c>
      <c r="C62" s="443" t="str">
        <f>'MTP_lines-polygons'!F7</f>
        <v>Fairmont Rd/Holland Ave Improvements</v>
      </c>
      <c r="D62" s="444" t="str">
        <f>'MTP_lines-polygons'!G7</f>
        <v>--</v>
      </c>
      <c r="E62" s="443" t="str">
        <f>'MTP_lines-polygons'!H7</f>
        <v>I-79 Interchange</v>
      </c>
      <c r="F62" s="443" t="str">
        <f>'MTP_lines-polygons'!I7</f>
        <v>Westover Bridge</v>
      </c>
      <c r="G62" s="487">
        <f>'MTP_lines-polygons'!P7</f>
        <v>12539999.999999998</v>
      </c>
      <c r="H62" s="446" t="str">
        <f>'MTP_lines-polygons'!Q7</f>
        <v>Roadway</v>
      </c>
      <c r="I62" s="446" t="str">
        <f>'MTP_lines-polygons'!R7</f>
        <v>MTP Project Corridor</v>
      </c>
      <c r="J62" s="878" t="s">
        <v>1047</v>
      </c>
      <c r="K62" s="442" t="str">
        <f>'MTP_lines-polygons'!E7</f>
        <v>M50</v>
      </c>
      <c r="N62" s="431" t="s">
        <v>81</v>
      </c>
      <c r="O62" s="880" t="s">
        <v>1046</v>
      </c>
    </row>
    <row r="63" spans="2:15" x14ac:dyDescent="0.3">
      <c r="B63" s="441" t="str">
        <f>'MTP_lines-polygons'!E8</f>
        <v>M51a</v>
      </c>
      <c r="C63" s="443" t="str">
        <f>'MTP_lines-polygons'!F8</f>
        <v>Greenbag Rd Improvements - Segment 1</v>
      </c>
      <c r="D63" s="444" t="str">
        <f>'MTP_lines-polygons'!G8</f>
        <v>--</v>
      </c>
      <c r="E63" s="443" t="str">
        <f>'MTP_lines-polygons'!H8</f>
        <v>Don Knotts Blvd (US 119)</v>
      </c>
      <c r="F63" s="443" t="str">
        <f>'MTP_lines-polygons'!I8</f>
        <v>Mississippi St</v>
      </c>
      <c r="G63" s="487">
        <f>'MTP_lines-polygons'!P8</f>
        <v>5337716.7542397073</v>
      </c>
      <c r="H63" s="446" t="str">
        <f>'MTP_lines-polygons'!Q8</f>
        <v>Roadway</v>
      </c>
      <c r="I63" s="446" t="str">
        <f>'MTP_lines-polygons'!R8</f>
        <v>MTP Project Corridor</v>
      </c>
      <c r="J63" s="878" t="s">
        <v>1047</v>
      </c>
      <c r="K63" s="442" t="str">
        <f>'MTP_lines-polygons'!E8</f>
        <v>M51a</v>
      </c>
    </row>
    <row r="64" spans="2:15" x14ac:dyDescent="0.3">
      <c r="B64" s="441" t="str">
        <f>'MTP_lines-polygons'!E9</f>
        <v>M51b</v>
      </c>
      <c r="C64" s="443" t="str">
        <f>'MTP_lines-polygons'!F9</f>
        <v>Greenbag Rd Improvements - Segment 2</v>
      </c>
      <c r="D64" s="444" t="str">
        <f>'MTP_lines-polygons'!G9</f>
        <v>--</v>
      </c>
      <c r="E64" s="443" t="str">
        <f>'MTP_lines-polygons'!H9</f>
        <v>Lucky Lane</v>
      </c>
      <c r="F64" s="443" t="str">
        <f>'MTP_lines-polygons'!I9</f>
        <v>Deckers Creek Blvd</v>
      </c>
      <c r="G64" s="487">
        <f>'MTP_lines-polygons'!P9</f>
        <v>11762283.245760288</v>
      </c>
      <c r="H64" s="446" t="str">
        <f>'MTP_lines-polygons'!Q9</f>
        <v>Roadway</v>
      </c>
      <c r="I64" s="446" t="str">
        <f>'MTP_lines-polygons'!R9</f>
        <v>MTP Project Corridor</v>
      </c>
      <c r="J64" s="878" t="s">
        <v>1047</v>
      </c>
      <c r="K64" s="442" t="str">
        <f>'MTP_lines-polygons'!E9</f>
        <v>M51b</v>
      </c>
    </row>
    <row r="65" spans="2:11" ht="31.2" x14ac:dyDescent="0.3">
      <c r="B65" s="441" t="str">
        <f>'MTP_lines-polygons'!E10</f>
        <v>M52</v>
      </c>
      <c r="C65" s="443" t="str">
        <f>'MTP_lines-polygons'!F10</f>
        <v>Earl Core Rd (WV 7) - Northern Section Improvements</v>
      </c>
      <c r="D65" s="444" t="str">
        <f>'MTP_lines-polygons'!G10</f>
        <v>WV 7</v>
      </c>
      <c r="E65" s="443" t="str">
        <f>'MTP_lines-polygons'!H10</f>
        <v>Deckers Creek Bvd</v>
      </c>
      <c r="F65" s="443" t="str">
        <f>'MTP_lines-polygons'!I10</f>
        <v>I-68 Interchange</v>
      </c>
      <c r="G65" s="487">
        <f>'MTP_lines-polygons'!P10</f>
        <v>10260000</v>
      </c>
      <c r="H65" s="446" t="str">
        <f>'MTP_lines-polygons'!Q10</f>
        <v>Roadway</v>
      </c>
      <c r="I65" s="446" t="str">
        <f>'MTP_lines-polygons'!R10</f>
        <v>MTP Project Corridor</v>
      </c>
      <c r="J65" s="878" t="s">
        <v>1047</v>
      </c>
      <c r="K65" s="442" t="str">
        <f>'MTP_lines-polygons'!E10</f>
        <v>M52</v>
      </c>
    </row>
    <row r="66" spans="2:11" x14ac:dyDescent="0.3">
      <c r="B66" s="441" t="str">
        <f>'MTP_lines-polygons'!E11</f>
        <v>M52b</v>
      </c>
      <c r="C66" s="443" t="str">
        <f>'MTP_lines-polygons'!F11</f>
        <v>Earl Core Rd (WV 7) Access Management</v>
      </c>
      <c r="D66" s="444" t="str">
        <f>'MTP_lines-polygons'!G11</f>
        <v>WV 7</v>
      </c>
      <c r="E66" s="443" t="str">
        <f>'MTP_lines-polygons'!H11</f>
        <v>I-68 Interchange (SB ramps)</v>
      </c>
      <c r="F66" s="443" t="str">
        <f>'MTP_lines-polygons'!I11</f>
        <v>Greenbag Rd</v>
      </c>
      <c r="G66" s="487">
        <f>'MTP_lines-polygons'!P11</f>
        <v>16895508.428383205</v>
      </c>
      <c r="H66" s="446" t="str">
        <f>'MTP_lines-polygons'!Q11</f>
        <v>Roadway</v>
      </c>
      <c r="I66" s="446" t="str">
        <f>'MTP_lines-polygons'!R11</f>
        <v>FY Deficiency</v>
      </c>
      <c r="J66" s="879" t="s">
        <v>672</v>
      </c>
      <c r="K66" s="442" t="str">
        <f>'MTP_lines-polygons'!E11</f>
        <v>M52b</v>
      </c>
    </row>
    <row r="67" spans="2:11" x14ac:dyDescent="0.3">
      <c r="B67" s="441" t="str">
        <f>'MTP_lines-polygons'!E12</f>
        <v>M55</v>
      </c>
      <c r="C67" s="443" t="str">
        <f>'MTP_lines-polygons'!F12</f>
        <v>Lazzelle Union Rd (WV-100) Improvements</v>
      </c>
      <c r="D67" s="444" t="str">
        <f>'MTP_lines-polygons'!G12</f>
        <v>WV 100</v>
      </c>
      <c r="E67" s="443" t="str">
        <f>'MTP_lines-polygons'!H12</f>
        <v>US 19</v>
      </c>
      <c r="F67" s="443" t="str">
        <f>'MTP_lines-polygons'!I12</f>
        <v>PA State Line</v>
      </c>
      <c r="G67" s="487">
        <f>'MTP_lines-polygons'!P12</f>
        <v>25079999.999999996</v>
      </c>
      <c r="H67" s="446" t="str">
        <f>'MTP_lines-polygons'!Q12</f>
        <v>Roadway</v>
      </c>
      <c r="I67" s="446" t="str">
        <f>'MTP_lines-polygons'!R12</f>
        <v>MTP Project Corridor</v>
      </c>
      <c r="J67" s="878" t="s">
        <v>1047</v>
      </c>
      <c r="K67" s="442" t="str">
        <f>'MTP_lines-polygons'!E12</f>
        <v>M55</v>
      </c>
    </row>
    <row r="68" spans="2:11" ht="31.2" x14ac:dyDescent="0.3">
      <c r="B68" s="441" t="str">
        <f>'MTP_lines-polygons'!E13</f>
        <v>M57</v>
      </c>
      <c r="C68" s="443" t="str">
        <f>'MTP_lines-polygons'!F13</f>
        <v>I-79 Granville Section Improvements - widen to 6-lanes</v>
      </c>
      <c r="D68" s="444" t="str">
        <f>'MTP_lines-polygons'!G13</f>
        <v>I-79</v>
      </c>
      <c r="E68" s="443" t="str">
        <f>'MTP_lines-polygons'!H13</f>
        <v>Exit 152</v>
      </c>
      <c r="F68" s="443" t="str">
        <f>'MTP_lines-polygons'!I13</f>
        <v>Exit 155</v>
      </c>
      <c r="G68" s="487">
        <f>'MTP_lines-polygons'!P13</f>
        <v>17100000</v>
      </c>
      <c r="H68" s="446" t="str">
        <f>'MTP_lines-polygons'!Q13</f>
        <v>Roadway</v>
      </c>
      <c r="I68" s="446" t="str">
        <f>'MTP_lines-polygons'!R13</f>
        <v>MTP Project Corridor</v>
      </c>
      <c r="J68" s="461" t="s">
        <v>1048</v>
      </c>
      <c r="K68" s="442" t="str">
        <f>'MTP_lines-polygons'!E13</f>
        <v>M57</v>
      </c>
    </row>
    <row r="69" spans="2:11" ht="31.2" x14ac:dyDescent="0.3">
      <c r="B69" s="441" t="str">
        <f>'MTP_lines-polygons'!E14</f>
        <v>M58</v>
      </c>
      <c r="C69" s="443" t="str">
        <f>'MTP_lines-polygons'!F14</f>
        <v>I-79 Westover Section Improvements - widen to 6-lanes</v>
      </c>
      <c r="D69" s="444" t="str">
        <f>'MTP_lines-polygons'!G14</f>
        <v>I-79</v>
      </c>
      <c r="E69" s="443" t="str">
        <f>'MTP_lines-polygons'!H14</f>
        <v>Exit 148</v>
      </c>
      <c r="F69" s="443" t="str">
        <f>'MTP_lines-polygons'!I14</f>
        <v>Exit 152</v>
      </c>
      <c r="G69" s="487">
        <f>'MTP_lines-polygons'!P14</f>
        <v>4560000</v>
      </c>
      <c r="H69" s="446" t="str">
        <f>'MTP_lines-polygons'!Q14</f>
        <v>Roadway</v>
      </c>
      <c r="I69" s="446" t="str">
        <f>'MTP_lines-polygons'!R14</f>
        <v>MTP Project Corridor</v>
      </c>
      <c r="J69" s="461" t="s">
        <v>1048</v>
      </c>
      <c r="K69" s="442" t="str">
        <f>'MTP_lines-polygons'!E14</f>
        <v>M58</v>
      </c>
    </row>
    <row r="70" spans="2:11" ht="15.75" customHeight="1" x14ac:dyDescent="0.3">
      <c r="B70" s="441" t="str">
        <f>'MTP_lines-polygons'!E15</f>
        <v>M59</v>
      </c>
      <c r="C70" s="443" t="str">
        <f>'MTP_lines-polygons'!F15</f>
        <v>Dorsey Ave Sidewalk Improvements</v>
      </c>
      <c r="D70" s="444" t="str">
        <f>'MTP_lines-polygons'!G15</f>
        <v>--</v>
      </c>
      <c r="E70" s="443" t="str">
        <f>'MTP_lines-polygons'!H15</f>
        <v>High St</v>
      </c>
      <c r="F70" s="443" t="str">
        <f>'MTP_lines-polygons'!I15</f>
        <v>Greenbag Rd</v>
      </c>
      <c r="G70" s="487">
        <f>'MTP_lines-polygons'!P15</f>
        <v>4560000</v>
      </c>
      <c r="H70" s="446" t="str">
        <f>'MTP_lines-polygons'!Q15</f>
        <v>Walk-Bike</v>
      </c>
      <c r="I70" s="446" t="str">
        <f>'MTP_lines-polygons'!R15</f>
        <v>MTP Project Corridor</v>
      </c>
      <c r="J70" s="880" t="s">
        <v>1046</v>
      </c>
      <c r="K70" s="442" t="str">
        <f>'MTP_lines-polygons'!E15</f>
        <v>M59</v>
      </c>
    </row>
    <row r="71" spans="2:11" x14ac:dyDescent="0.3">
      <c r="B71" s="441" t="str">
        <f>'MTP_lines-polygons'!E16</f>
        <v>M60</v>
      </c>
      <c r="C71" s="443" t="str">
        <f>'MTP_lines-polygons'!F16</f>
        <v>Grafton Rd (US 119) Improvements</v>
      </c>
      <c r="D71" s="444" t="str">
        <f>'MTP_lines-polygons'!G16</f>
        <v>US 119</v>
      </c>
      <c r="E71" s="443" t="str">
        <f>'MTP_lines-polygons'!H16</f>
        <v>Greenbag Rd</v>
      </c>
      <c r="F71" s="443" t="str">
        <f>'MTP_lines-polygons'!I16</f>
        <v>4H Camp Rd / Walmart</v>
      </c>
      <c r="G71" s="487">
        <f>'MTP_lines-polygons'!P16</f>
        <v>5699999.9999999991</v>
      </c>
      <c r="H71" s="446" t="str">
        <f>'MTP_lines-polygons'!Q16</f>
        <v>Roadway</v>
      </c>
      <c r="I71" s="446" t="str">
        <f>'MTP_lines-polygons'!R16</f>
        <v>MTP Project Corridor</v>
      </c>
      <c r="J71" s="461" t="s">
        <v>1048</v>
      </c>
      <c r="K71" s="442" t="str">
        <f>'MTP_lines-polygons'!E16</f>
        <v>M60</v>
      </c>
    </row>
    <row r="72" spans="2:11" x14ac:dyDescent="0.3">
      <c r="B72" s="441" t="str">
        <f>'MTP_lines-polygons'!E17</f>
        <v>M61</v>
      </c>
      <c r="C72" s="443" t="str">
        <f>'MTP_lines-polygons'!F17</f>
        <v>Smithtown Rd Improvements</v>
      </c>
      <c r="D72" s="444" t="str">
        <f>'MTP_lines-polygons'!G17</f>
        <v>CO73</v>
      </c>
      <c r="E72" s="443" t="str">
        <f>'MTP_lines-polygons'!H17</f>
        <v>Don Knotts Blvd (US 119)</v>
      </c>
      <c r="F72" s="443" t="str">
        <f>'MTP_lines-polygons'!I17</f>
        <v>Goshen Rd</v>
      </c>
      <c r="G72" s="487">
        <f>'MTP_lines-polygons'!P17</f>
        <v>13679999.999999998</v>
      </c>
      <c r="H72" s="446" t="str">
        <f>'MTP_lines-polygons'!Q17</f>
        <v>Roadway</v>
      </c>
      <c r="I72" s="446" t="str">
        <f>'MTP_lines-polygons'!R17</f>
        <v>MTP Project Corridor</v>
      </c>
      <c r="J72" s="878" t="s">
        <v>1047</v>
      </c>
      <c r="K72" s="442" t="str">
        <f>'MTP_lines-polygons'!E17</f>
        <v>M61</v>
      </c>
    </row>
    <row r="73" spans="2:11" ht="31.2" x14ac:dyDescent="0.3">
      <c r="B73" s="441" t="str">
        <f>'MTP_lines-polygons'!E18</f>
        <v>M62</v>
      </c>
      <c r="C73" s="443" t="str">
        <f>'MTP_lines-polygons'!F18</f>
        <v>Earl Core Road (WV 7) at Southern Section Improvements</v>
      </c>
      <c r="D73" s="444" t="str">
        <f>'MTP_lines-polygons'!G18</f>
        <v>WV 7</v>
      </c>
      <c r="E73" s="443" t="str">
        <f>'MTP_lines-polygons'!H18</f>
        <v>I-68 interchange</v>
      </c>
      <c r="F73" s="443" t="str">
        <f>'MTP_lines-polygons'!I18</f>
        <v>Tyrone Rd</v>
      </c>
      <c r="G73" s="487">
        <f>'MTP_lines-polygons'!P18</f>
        <v>10260000</v>
      </c>
      <c r="H73" s="446" t="str">
        <f>'MTP_lines-polygons'!Q18</f>
        <v>Roadway</v>
      </c>
      <c r="I73" s="446" t="str">
        <f>'MTP_lines-polygons'!R18</f>
        <v>MTP Project Corridor</v>
      </c>
      <c r="J73" s="461" t="s">
        <v>1048</v>
      </c>
      <c r="K73" s="442" t="str">
        <f>'MTP_lines-polygons'!E18</f>
        <v>M62</v>
      </c>
    </row>
    <row r="74" spans="2:11" ht="31.2" x14ac:dyDescent="0.3">
      <c r="B74" s="441" t="str">
        <f>'MTP_lines-polygons'!E19</f>
        <v>M63</v>
      </c>
      <c r="C74" s="443" t="str">
        <f>'MTP_lines-polygons'!F19</f>
        <v>Brockway Ave / Rodgers Ave / Powell Ave (WV 7) Improvements</v>
      </c>
      <c r="D74" s="444" t="str">
        <f>'MTP_lines-polygons'!G19</f>
        <v>WV 7</v>
      </c>
      <c r="E74" s="443" t="str">
        <f>'MTP_lines-polygons'!H19</f>
        <v>Walnut St</v>
      </c>
      <c r="F74" s="443" t="str">
        <f>'MTP_lines-polygons'!I19</f>
        <v>Deckers Creek Rd</v>
      </c>
      <c r="G74" s="487">
        <f>'MTP_lines-polygons'!P19</f>
        <v>6839999.9999999991</v>
      </c>
      <c r="H74" s="446" t="str">
        <f>'MTP_lines-polygons'!Q19</f>
        <v>Roadway</v>
      </c>
      <c r="I74" s="446" t="str">
        <f>'MTP_lines-polygons'!R19</f>
        <v>MTP Project Corridor</v>
      </c>
      <c r="J74" s="878" t="s">
        <v>1047</v>
      </c>
      <c r="K74" s="442" t="str">
        <f>'MTP_lines-polygons'!E19</f>
        <v>M63</v>
      </c>
    </row>
    <row r="75" spans="2:11" x14ac:dyDescent="0.3">
      <c r="B75" s="441" t="str">
        <f>'MTP_lines-polygons'!E20</f>
        <v>M64</v>
      </c>
      <c r="C75" s="443" t="str">
        <f>'MTP_lines-polygons'!F20</f>
        <v>Willey St/Mileground Rd Improvements</v>
      </c>
      <c r="D75" s="444" t="str">
        <f>'MTP_lines-polygons'!G20</f>
        <v>US 119</v>
      </c>
      <c r="E75" s="443" t="str">
        <f>'MTP_lines-polygons'!H20</f>
        <v>High St</v>
      </c>
      <c r="F75" s="443" t="str">
        <f>'MTP_lines-polygons'!I20</f>
        <v>WV 705</v>
      </c>
      <c r="G75" s="487">
        <f>'MTP_lines-polygons'!P20</f>
        <v>14819999.999999998</v>
      </c>
      <c r="H75" s="446" t="str">
        <f>'MTP_lines-polygons'!Q20</f>
        <v>Roadway</v>
      </c>
      <c r="I75" s="446" t="str">
        <f>'MTP_lines-polygons'!R20</f>
        <v>MTP Project Corridor</v>
      </c>
      <c r="J75" s="878" t="s">
        <v>1047</v>
      </c>
      <c r="K75" s="442" t="str">
        <f>'MTP_lines-polygons'!E20</f>
        <v>M64</v>
      </c>
    </row>
    <row r="76" spans="2:11" x14ac:dyDescent="0.3">
      <c r="B76" s="441" t="str">
        <f>'MTP_lines-polygons'!E21</f>
        <v>M65</v>
      </c>
      <c r="C76" s="443" t="str">
        <f>'MTP_lines-polygons'!F21</f>
        <v>Stewart St Improvements</v>
      </c>
      <c r="D76" s="444" t="str">
        <f>'MTP_lines-polygons'!G21</f>
        <v>CO67</v>
      </c>
      <c r="E76" s="443" t="str">
        <f>'MTP_lines-polygons'!H21</f>
        <v>University Ave</v>
      </c>
      <c r="F76" s="443" t="str">
        <f>'MTP_lines-polygons'!I21</f>
        <v>WV 705</v>
      </c>
      <c r="G76" s="487">
        <f>'MTP_lines-polygons'!P21</f>
        <v>12539999.999999998</v>
      </c>
      <c r="H76" s="446" t="str">
        <f>'MTP_lines-polygons'!Q21</f>
        <v>Roadway</v>
      </c>
      <c r="I76" s="446" t="str">
        <f>'MTP_lines-polygons'!R21</f>
        <v>MTP Project Corridor</v>
      </c>
      <c r="J76" s="878" t="s">
        <v>1047</v>
      </c>
      <c r="K76" s="442" t="str">
        <f>'MTP_lines-polygons'!E21</f>
        <v>M65</v>
      </c>
    </row>
    <row r="77" spans="2:11" x14ac:dyDescent="0.3">
      <c r="B77" s="441" t="str">
        <f>'MTP_lines-polygons'!E22</f>
        <v>M67</v>
      </c>
      <c r="C77" s="443" t="str">
        <f>'MTP_lines-polygons'!F22</f>
        <v>Burroughs St Improvements</v>
      </c>
      <c r="D77" s="444" t="str">
        <f>'MTP_lines-polygons'!G22</f>
        <v>--</v>
      </c>
      <c r="E77" s="443" t="str">
        <f>'MTP_lines-polygons'!H22</f>
        <v>Collins Ferry Rd</v>
      </c>
      <c r="F77" s="443" t="str">
        <f>'MTP_lines-polygons'!I22</f>
        <v>Van Voorhis Rd WV 705</v>
      </c>
      <c r="G77" s="487">
        <f>'MTP_lines-polygons'!P22</f>
        <v>4560000</v>
      </c>
      <c r="H77" s="446" t="str">
        <f>'MTP_lines-polygons'!Q22</f>
        <v>Roadway</v>
      </c>
      <c r="I77" s="446" t="str">
        <f>'MTP_lines-polygons'!R22</f>
        <v>MTP Project Corridor</v>
      </c>
      <c r="J77" s="878" t="s">
        <v>1047</v>
      </c>
      <c r="K77" s="442" t="str">
        <f>'MTP_lines-polygons'!E22</f>
        <v>M67</v>
      </c>
    </row>
    <row r="78" spans="2:11" x14ac:dyDescent="0.3">
      <c r="B78" s="441" t="str">
        <f>'MTP_lines-polygons'!E23</f>
        <v>M68</v>
      </c>
      <c r="C78" s="443" t="str">
        <f>'MTP_lines-polygons'!F23</f>
        <v>Riddle Ave/Pineview Dr Improvements</v>
      </c>
      <c r="D78" s="444" t="str">
        <f>'MTP_lines-polygons'!G23</f>
        <v>--</v>
      </c>
      <c r="E78" s="443" t="str">
        <f>'MTP_lines-polygons'!H23</f>
        <v>WV 705</v>
      </c>
      <c r="F78" s="443" t="str">
        <f>'MTP_lines-polygons'!I23</f>
        <v>West Run Rd</v>
      </c>
      <c r="G78" s="487">
        <f>'MTP_lines-polygons'!P23</f>
        <v>3000000</v>
      </c>
      <c r="H78" s="446" t="str">
        <f>'MTP_lines-polygons'!Q23</f>
        <v>Roadway</v>
      </c>
      <c r="I78" s="446" t="str">
        <f>'MTP_lines-polygons'!R23</f>
        <v>MTP Project Corridor</v>
      </c>
      <c r="J78" s="878" t="s">
        <v>1047</v>
      </c>
      <c r="K78" s="442" t="str">
        <f>'MTP_lines-polygons'!E23</f>
        <v>M68</v>
      </c>
    </row>
    <row r="79" spans="2:11" x14ac:dyDescent="0.3">
      <c r="B79" s="441" t="str">
        <f>'MTP_lines-polygons'!E24</f>
        <v>M69</v>
      </c>
      <c r="C79" s="443" t="str">
        <f>'MTP_lines-polygons'!F24</f>
        <v>Cheat Rd Improvements</v>
      </c>
      <c r="D79" s="444" t="str">
        <f>'MTP_lines-polygons'!G24</f>
        <v>CO857</v>
      </c>
      <c r="E79" s="443" t="str">
        <f>'MTP_lines-polygons'!H24</f>
        <v>West Run Rd</v>
      </c>
      <c r="F79" s="443" t="str">
        <f>'MTP_lines-polygons'!I24</f>
        <v>S Pierpont Rd</v>
      </c>
      <c r="G79" s="487">
        <f>'MTP_lines-polygons'!P24</f>
        <v>6839999.9999999991</v>
      </c>
      <c r="H79" s="446" t="str">
        <f>'MTP_lines-polygons'!Q24</f>
        <v>Roadway</v>
      </c>
      <c r="I79" s="446" t="str">
        <f>'MTP_lines-polygons'!R24</f>
        <v>MTP Project Corridor</v>
      </c>
      <c r="J79" s="461" t="s">
        <v>1048</v>
      </c>
      <c r="K79" s="442" t="str">
        <f>'MTP_lines-polygons'!E24</f>
        <v>M69</v>
      </c>
    </row>
    <row r="80" spans="2:11" x14ac:dyDescent="0.3">
      <c r="B80" s="441" t="str">
        <f>'MTP_lines-polygons'!E25</f>
        <v>M69b</v>
      </c>
      <c r="C80" s="443" t="str">
        <f>'MTP_lines-polygons'!F25</f>
        <v>Cheat Rd Widening - Segment 2</v>
      </c>
      <c r="D80" s="444" t="str">
        <f>'MTP_lines-polygons'!G25</f>
        <v>CO857</v>
      </c>
      <c r="E80" s="443" t="str">
        <f>'MTP_lines-polygons'!H25</f>
        <v>S Pierpont Rd</v>
      </c>
      <c r="F80" s="443" t="str">
        <f>'MTP_lines-polygons'!I25</f>
        <v>Stone Creek</v>
      </c>
      <c r="G80" s="487">
        <f>'MTP_lines-polygons'!P25</f>
        <v>13733632.847764172</v>
      </c>
      <c r="H80" s="446" t="str">
        <f>'MTP_lines-polygons'!Q25</f>
        <v>Roadway</v>
      </c>
      <c r="I80" s="446" t="str">
        <f>'MTP_lines-polygons'!R25</f>
        <v>FY Deficiency</v>
      </c>
      <c r="J80" s="461" t="s">
        <v>1048</v>
      </c>
      <c r="K80" s="442" t="str">
        <f>'MTP_lines-polygons'!E25</f>
        <v>M69b</v>
      </c>
    </row>
    <row r="81" spans="2:11" ht="15.75" customHeight="1" x14ac:dyDescent="0.3">
      <c r="B81" s="441" t="str">
        <f>'MTP_lines-polygons'!E26</f>
        <v>M70</v>
      </c>
      <c r="C81" s="443" t="str">
        <f>'MTP_lines-polygons'!F26</f>
        <v>Old Cheat Rd/Cheat Rd Bike Lanes</v>
      </c>
      <c r="D81" s="444" t="str">
        <f>'MTP_lines-polygons'!G26</f>
        <v>CO73/12</v>
      </c>
      <c r="E81" s="443" t="str">
        <f>'MTP_lines-polygons'!H26</f>
        <v>Cheat Lake Bridge</v>
      </c>
      <c r="F81" s="443" t="str">
        <f>'MTP_lines-polygons'!I26</f>
        <v>Cheat Rd/Old Cheat Rd</v>
      </c>
      <c r="G81" s="487">
        <f>'MTP_lines-polygons'!P26</f>
        <v>7979999.9999999991</v>
      </c>
      <c r="H81" s="446" t="str">
        <f>'MTP_lines-polygons'!Q26</f>
        <v>Walk-Bike</v>
      </c>
      <c r="I81" s="446" t="str">
        <f>'MTP_lines-polygons'!R26</f>
        <v>MTP Project Corridor</v>
      </c>
      <c r="J81" s="880" t="s">
        <v>1046</v>
      </c>
      <c r="K81" s="442" t="str">
        <f>'MTP_lines-polygons'!E26</f>
        <v>M70</v>
      </c>
    </row>
    <row r="82" spans="2:11" ht="15.75" customHeight="1" x14ac:dyDescent="0.3">
      <c r="B82" s="441" t="str">
        <f>'MTP_lines-polygons'!E27</f>
        <v>M71</v>
      </c>
      <c r="C82" s="443" t="str">
        <f>'MTP_lines-polygons'!F27</f>
        <v>White Park/Caperton Multimodal Trail Connection - Bridge</v>
      </c>
      <c r="D82" s="444" t="str">
        <f>'MTP_lines-polygons'!G27</f>
        <v>--</v>
      </c>
      <c r="E82" s="443" t="str">
        <f>'MTP_lines-polygons'!H27</f>
        <v>White Park</v>
      </c>
      <c r="F82" s="443" t="str">
        <f>'MTP_lines-polygons'!I27</f>
        <v>Capterton Trail</v>
      </c>
      <c r="G82" s="487">
        <f>'MTP_lines-polygons'!P27</f>
        <v>2188704.7774858274</v>
      </c>
      <c r="H82" s="446" t="str">
        <f>'MTP_lines-polygons'!Q27</f>
        <v>Walk-Bike</v>
      </c>
      <c r="I82" s="446" t="str">
        <f>'MTP_lines-polygons'!R27</f>
        <v>MTP Project Corridor</v>
      </c>
      <c r="J82" s="880" t="s">
        <v>1046</v>
      </c>
      <c r="K82" s="442" t="str">
        <f>'MTP_lines-polygons'!E27</f>
        <v>M71</v>
      </c>
    </row>
    <row r="83" spans="2:11" ht="15.75" customHeight="1" x14ac:dyDescent="0.3">
      <c r="B83" s="441" t="str">
        <f>'MTP_lines-polygons'!E28</f>
        <v>M72</v>
      </c>
      <c r="C83" s="443" t="str">
        <f>'MTP_lines-polygons'!F28</f>
        <v>North Side Connector Bus Rapid Transit</v>
      </c>
      <c r="D83" s="444" t="str">
        <f>'MTP_lines-polygons'!G28</f>
        <v>--</v>
      </c>
      <c r="E83" s="443" t="str">
        <f>'MTP_lines-polygons'!H28</f>
        <v>Evansdale Campus</v>
      </c>
      <c r="F83" s="443" t="str">
        <f>'MTP_lines-polygons'!I28</f>
        <v>Downtown Campus</v>
      </c>
      <c r="G83" s="487">
        <f>'MTP_lines-polygons'!P28</f>
        <v>1140000</v>
      </c>
      <c r="H83" s="446" t="str">
        <f>'MTP_lines-polygons'!Q28</f>
        <v>Transit</v>
      </c>
      <c r="I83" s="446" t="str">
        <f>'MTP_lines-polygons'!R28</f>
        <v>MTP Project Corridor</v>
      </c>
      <c r="J83" s="880" t="s">
        <v>1046</v>
      </c>
      <c r="K83" s="442" t="str">
        <f>'MTP_lines-polygons'!E28</f>
        <v>M72</v>
      </c>
    </row>
    <row r="84" spans="2:11" x14ac:dyDescent="0.3">
      <c r="B84" s="441" t="str">
        <f>'MTP_lines-polygons'!E29</f>
        <v>M73b</v>
      </c>
      <c r="C84" s="443" t="str">
        <f>'MTP_lines-polygons'!F29</f>
        <v>WV-705 Corridor Improvements</v>
      </c>
      <c r="D84" s="444" t="str">
        <f>'MTP_lines-polygons'!G29</f>
        <v>WV 705</v>
      </c>
      <c r="E84" s="443" t="str">
        <f>'MTP_lines-polygons'!H29</f>
        <v>Monongahela Blvd</v>
      </c>
      <c r="F84" s="443" t="str">
        <f>'MTP_lines-polygons'!I29</f>
        <v>Mon General Dr / Don Nehlen Dr</v>
      </c>
      <c r="G84" s="487">
        <f>'MTP_lines-polygons'!P29</f>
        <v>14502841.645762801</v>
      </c>
      <c r="H84" s="446" t="str">
        <f>'MTP_lines-polygons'!Q29</f>
        <v>Roadway</v>
      </c>
      <c r="I84" s="446" t="str">
        <f>'MTP_lines-polygons'!R29</f>
        <v>FY Deficiency</v>
      </c>
      <c r="J84" s="879" t="s">
        <v>672</v>
      </c>
      <c r="K84" s="442" t="str">
        <f>'MTP_lines-polygons'!E29</f>
        <v>M73b</v>
      </c>
    </row>
    <row r="85" spans="2:11" x14ac:dyDescent="0.3">
      <c r="B85" s="441" t="str">
        <f>'MTP_lines-polygons'!E30</f>
        <v>M74</v>
      </c>
      <c r="C85" s="443" t="str">
        <f>'MTP_lines-polygons'!F30</f>
        <v>River Road Improvements</v>
      </c>
      <c r="D85" s="444" t="str">
        <f>'MTP_lines-polygons'!G30</f>
        <v>CO45</v>
      </c>
      <c r="E85" s="443" t="str">
        <f>'MTP_lines-polygons'!H30</f>
        <v>Master Graphics Road</v>
      </c>
      <c r="F85" s="443" t="str">
        <f>'MTP_lines-polygons'!I30</f>
        <v>DuPont Rd / Industrial Park Rd</v>
      </c>
      <c r="G85" s="487">
        <f>'MTP_lines-polygons'!P30</f>
        <v>2128359.6289559249</v>
      </c>
      <c r="H85" s="446" t="str">
        <f>'MTP_lines-polygons'!Q30</f>
        <v>Roadway</v>
      </c>
      <c r="I85" s="446" t="str">
        <f>'MTP_lines-polygons'!R30</f>
        <v>Future Need</v>
      </c>
      <c r="J85" s="878" t="s">
        <v>1047</v>
      </c>
      <c r="K85" s="442" t="str">
        <f>'MTP_lines-polygons'!E30</f>
        <v>M74</v>
      </c>
    </row>
    <row r="86" spans="2:11" x14ac:dyDescent="0.3">
      <c r="B86" s="441" t="str">
        <f>'MTP_lines-polygons'!E31</f>
        <v>M101</v>
      </c>
      <c r="C86" s="443" t="str">
        <f>'MTP_lines-polygons'!F31</f>
        <v>Blue Horizon Dr Widening</v>
      </c>
      <c r="D86" s="444" t="str">
        <f>'MTP_lines-polygons'!G31</f>
        <v>WV 7</v>
      </c>
      <c r="E86" s="443" t="str">
        <f>'MTP_lines-polygons'!H31</f>
        <v>Scotts Run Rd</v>
      </c>
      <c r="F86" s="443" t="str">
        <f>'MTP_lines-polygons'!I31</f>
        <v>Chaplin Rd (US 19)</v>
      </c>
      <c r="G86" s="487">
        <f>'MTP_lines-polygons'!P31</f>
        <v>12339268.92</v>
      </c>
      <c r="H86" s="446" t="str">
        <f>'MTP_lines-polygons'!Q31</f>
        <v>Roadway</v>
      </c>
      <c r="I86" s="446" t="str">
        <f>'MTP_lines-polygons'!R31</f>
        <v>FY Deficiency</v>
      </c>
      <c r="J86" s="461" t="s">
        <v>1048</v>
      </c>
      <c r="K86" s="442" t="str">
        <f>'MTP_lines-polygons'!E31</f>
        <v>M101</v>
      </c>
    </row>
    <row r="87" spans="2:11" x14ac:dyDescent="0.3">
      <c r="B87" s="441" t="str">
        <f>'MTP_lines-polygons'!E32</f>
        <v>M102</v>
      </c>
      <c r="C87" s="443" t="str">
        <f>'MTP_lines-polygons'!F32</f>
        <v>Fairmont Rd US 19 Improvements</v>
      </c>
      <c r="D87" s="444">
        <f>'MTP_lines-polygons'!G32</f>
        <v>0</v>
      </c>
      <c r="E87" s="443" t="str">
        <f>'MTP_lines-polygons'!H32</f>
        <v>Sugar Grove Road</v>
      </c>
      <c r="F87" s="443" t="str">
        <f>'MTP_lines-polygons'!I32</f>
        <v>I-79 Interchange Exit 152</v>
      </c>
      <c r="G87" s="487">
        <f>'MTP_lines-polygons'!P32</f>
        <v>21566392.906577066</v>
      </c>
      <c r="H87" s="446" t="str">
        <f>'MTP_lines-polygons'!Q32</f>
        <v>Roadway</v>
      </c>
      <c r="I87" s="446" t="str">
        <f>'MTP_lines-polygons'!R32</f>
        <v>Future Need</v>
      </c>
      <c r="J87" s="878" t="s">
        <v>1047</v>
      </c>
      <c r="K87" s="442" t="str">
        <f>'MTP_lines-polygons'!E32</f>
        <v>M102</v>
      </c>
    </row>
    <row r="88" spans="2:11" x14ac:dyDescent="0.3">
      <c r="B88" s="441" t="str">
        <f>'MTP_lines-polygons'!E33</f>
        <v>M103</v>
      </c>
      <c r="C88" s="443" t="str">
        <f>'MTP_lines-polygons'!F33</f>
        <v>Tyrone Rd &amp; Cheat Rd Improvements</v>
      </c>
      <c r="D88" s="444">
        <f>'MTP_lines-polygons'!G33</f>
        <v>0</v>
      </c>
      <c r="E88" s="443" t="str">
        <f>'MTP_lines-polygons'!H33</f>
        <v>Earl Core Rd (WV 7)</v>
      </c>
      <c r="F88" s="443" t="str">
        <f>'MTP_lines-polygons'!I33</f>
        <v>Mont Chateau Rd</v>
      </c>
      <c r="G88" s="487">
        <f>'MTP_lines-polygons'!P33</f>
        <v>22145971.624969725</v>
      </c>
      <c r="H88" s="446" t="str">
        <f>'MTP_lines-polygons'!Q33</f>
        <v>Roadway</v>
      </c>
      <c r="I88" s="446" t="str">
        <f>'MTP_lines-polygons'!R33</f>
        <v>MTP Project Corridor</v>
      </c>
      <c r="J88" s="878" t="s">
        <v>1047</v>
      </c>
      <c r="K88" s="442" t="str">
        <f>'MTP_lines-polygons'!E33</f>
        <v>M103</v>
      </c>
    </row>
    <row r="89" spans="2:11" x14ac:dyDescent="0.3">
      <c r="B89" s="441" t="str">
        <f>'MTP_lines-polygons'!E34</f>
        <v>M104</v>
      </c>
      <c r="C89" s="443" t="str">
        <f>'MTP_lines-polygons'!F34</f>
        <v>St Clair Hill Rd Improvements</v>
      </c>
      <c r="D89" s="444" t="str">
        <f>'MTP_lines-polygons'!G34</f>
        <v>--</v>
      </c>
      <c r="E89" s="443" t="str">
        <f>'MTP_lines-polygons'!H34</f>
        <v>West Run Rd</v>
      </c>
      <c r="F89" s="443" t="str">
        <f>'MTP_lines-polygons'!I34</f>
        <v>Bakers Ridge Rd</v>
      </c>
      <c r="G89" s="487">
        <f>'MTP_lines-polygons'!P34</f>
        <v>2833997.3101043999</v>
      </c>
      <c r="H89" s="446" t="str">
        <f>'MTP_lines-polygons'!Q34</f>
        <v>Roadway</v>
      </c>
      <c r="I89" s="446" t="str">
        <f>'MTP_lines-polygons'!R34</f>
        <v>FY Deficiency</v>
      </c>
      <c r="J89" s="878" t="s">
        <v>1047</v>
      </c>
      <c r="K89" s="442" t="str">
        <f>'MTP_lines-polygons'!E34</f>
        <v>M104</v>
      </c>
    </row>
    <row r="90" spans="2:11" x14ac:dyDescent="0.3">
      <c r="B90" s="441" t="str">
        <f>'MTP_lines-polygons'!E35</f>
        <v>M105</v>
      </c>
      <c r="C90" s="443" t="str">
        <f>'MTP_lines-polygons'!F35</f>
        <v>Mileground Rd Widening</v>
      </c>
      <c r="D90" s="444" t="str">
        <f>'MTP_lines-polygons'!G35</f>
        <v>US 119</v>
      </c>
      <c r="E90" s="443" t="str">
        <f>'MTP_lines-polygons'!H35</f>
        <v>Hampton Ave</v>
      </c>
      <c r="F90" s="443" t="str">
        <f>'MTP_lines-polygons'!I35</f>
        <v>WV705</v>
      </c>
      <c r="G90" s="487">
        <f>'MTP_lines-polygons'!P35</f>
        <v>3405779.19</v>
      </c>
      <c r="H90" s="446" t="str">
        <f>'MTP_lines-polygons'!Q35</f>
        <v>Roadway</v>
      </c>
      <c r="I90" s="446" t="str">
        <f>'MTP_lines-polygons'!R35</f>
        <v>FY Deficiency</v>
      </c>
      <c r="J90" s="461" t="s">
        <v>1048</v>
      </c>
      <c r="K90" s="442" t="str">
        <f>'MTP_lines-polygons'!E35</f>
        <v>M105</v>
      </c>
    </row>
    <row r="91" spans="2:11" x14ac:dyDescent="0.3">
      <c r="B91" s="441" t="str">
        <f>'MTP_lines-polygons'!E36</f>
        <v>M106</v>
      </c>
      <c r="C91" s="443" t="str">
        <f>'MTP_lines-polygons'!F36</f>
        <v>Dupont Road Improvements</v>
      </c>
      <c r="D91" s="444">
        <f>'MTP_lines-polygons'!G36</f>
        <v>0</v>
      </c>
      <c r="E91" s="443" t="str">
        <f>'MTP_lines-polygons'!H36</f>
        <v>River Road</v>
      </c>
      <c r="F91" s="443" t="str">
        <f>'MTP_lines-polygons'!I36</f>
        <v>Fairmont Rd (US 19)</v>
      </c>
      <c r="G91" s="487">
        <f>'MTP_lines-polygons'!P36</f>
        <v>8291399.7520343103</v>
      </c>
      <c r="H91" s="446" t="str">
        <f>'MTP_lines-polygons'!Q36</f>
        <v>Roadway</v>
      </c>
      <c r="I91" s="446" t="str">
        <f>'MTP_lines-polygons'!R36</f>
        <v>MTP Project Corridor</v>
      </c>
      <c r="J91" s="878" t="s">
        <v>1047</v>
      </c>
      <c r="K91" s="442" t="str">
        <f>'MTP_lines-polygons'!E36</f>
        <v>M106</v>
      </c>
    </row>
    <row r="92" spans="2:11" x14ac:dyDescent="0.3">
      <c r="B92" s="441" t="str">
        <f>'MTP_lines-polygons'!E37</f>
        <v>M107</v>
      </c>
      <c r="C92" s="443" t="str">
        <f>'MTP_lines-polygons'!F37</f>
        <v>Dug Hill Road Improvements</v>
      </c>
      <c r="D92" s="444" t="str">
        <f>'MTP_lines-polygons'!G37</f>
        <v>--</v>
      </c>
      <c r="E92" s="443" t="str">
        <f>'MTP_lines-polygons'!H37</f>
        <v>Sabraton Ave</v>
      </c>
      <c r="F92" s="443" t="str">
        <f>'MTP_lines-polygons'!I37</f>
        <v>Snider Hill Rd</v>
      </c>
      <c r="G92" s="487">
        <f>'MTP_lines-polygons'!P37</f>
        <v>10557983.516850002</v>
      </c>
      <c r="H92" s="446" t="str">
        <f>'MTP_lines-polygons'!Q37</f>
        <v>Roadway</v>
      </c>
      <c r="I92" s="446" t="str">
        <f>'MTP_lines-polygons'!R37</f>
        <v>FY Deficiency</v>
      </c>
      <c r="J92" s="878" t="s">
        <v>1047</v>
      </c>
      <c r="K92" s="442" t="str">
        <f>'MTP_lines-polygons'!E37</f>
        <v>M107</v>
      </c>
    </row>
    <row r="93" spans="2:11" x14ac:dyDescent="0.3">
      <c r="B93" s="441" t="str">
        <f>'MTP_lines-polygons'!E38</f>
        <v>M108</v>
      </c>
      <c r="C93" s="443" t="str">
        <f>'MTP_lines-polygons'!F38</f>
        <v>Dents Run Blvd Improvements</v>
      </c>
      <c r="D93" s="444" t="str">
        <f>'MTP_lines-polygons'!G38</f>
        <v>CO49</v>
      </c>
      <c r="E93" s="443" t="str">
        <f>'MTP_lines-polygons'!H38</f>
        <v>Fairmont Rd (US 19)</v>
      </c>
      <c r="F93" s="443" t="str">
        <f>'MTP_lines-polygons'!I38</f>
        <v>Dunkard Ave (WV 100)</v>
      </c>
      <c r="G93" s="487">
        <f>'MTP_lines-polygons'!P38</f>
        <v>10643439.654631557</v>
      </c>
      <c r="H93" s="446" t="str">
        <f>'MTP_lines-polygons'!Q38</f>
        <v>Roadway</v>
      </c>
      <c r="I93" s="446" t="str">
        <f>'MTP_lines-polygons'!R38</f>
        <v>MTP Project Corridor</v>
      </c>
      <c r="J93" s="878" t="s">
        <v>1047</v>
      </c>
      <c r="K93" s="442" t="str">
        <f>'MTP_lines-polygons'!E38</f>
        <v>M108</v>
      </c>
    </row>
    <row r="94" spans="2:11" x14ac:dyDescent="0.3">
      <c r="B94" s="441" t="str">
        <f>'MTP_lines-polygons'!E39</f>
        <v>M109</v>
      </c>
      <c r="C94" s="443" t="str">
        <f>'MTP_lines-polygons'!F39</f>
        <v>Willowdale Rd Widening</v>
      </c>
      <c r="D94" s="444" t="str">
        <f>'MTP_lines-polygons'!G39</f>
        <v>--</v>
      </c>
      <c r="E94" s="443" t="str">
        <f>'MTP_lines-polygons'!H39</f>
        <v>Ira Errett Rodgers Dr</v>
      </c>
      <c r="F94" s="443" t="str">
        <f>'MTP_lines-polygons'!I39</f>
        <v>Medical Center Dr / Northwestern Ave</v>
      </c>
      <c r="G94" s="487">
        <f>'MTP_lines-polygons'!P39</f>
        <v>4525475.7083295379</v>
      </c>
      <c r="H94" s="446" t="str">
        <f>'MTP_lines-polygons'!Q39</f>
        <v>Roadway</v>
      </c>
      <c r="I94" s="446" t="str">
        <f>'MTP_lines-polygons'!R39</f>
        <v>FY Deficiency</v>
      </c>
      <c r="J94" s="461" t="s">
        <v>1048</v>
      </c>
      <c r="K94" s="442" t="str">
        <f>'MTP_lines-polygons'!E39</f>
        <v>M109</v>
      </c>
    </row>
    <row r="95" spans="2:11" ht="31.2" x14ac:dyDescent="0.3">
      <c r="B95" s="441" t="str">
        <f>'MTP_lines-polygons'!E40</f>
        <v>M110</v>
      </c>
      <c r="C95" s="443" t="str">
        <f>'MTP_lines-polygons'!F40</f>
        <v>Beechurst Avenue Access Management Improvements</v>
      </c>
      <c r="D95" s="444" t="str">
        <f>'MTP_lines-polygons'!G40</f>
        <v>--</v>
      </c>
      <c r="E95" s="443" t="str">
        <f>'MTP_lines-polygons'!H40</f>
        <v>8th St</v>
      </c>
      <c r="F95" s="443" t="str">
        <f>'MTP_lines-polygons'!I40</f>
        <v>University Ave</v>
      </c>
      <c r="G95" s="487">
        <f>'MTP_lines-polygons'!P40</f>
        <v>5056540.6704070503</v>
      </c>
      <c r="H95" s="446" t="str">
        <f>'MTP_lines-polygons'!Q40</f>
        <v>Roadway</v>
      </c>
      <c r="I95" s="446" t="str">
        <f>'MTP_lines-polygons'!R40</f>
        <v>MTP Project Corridor</v>
      </c>
      <c r="J95" s="879" t="s">
        <v>672</v>
      </c>
      <c r="K95" s="442" t="str">
        <f>'MTP_lines-polygons'!E40</f>
        <v>M110</v>
      </c>
    </row>
    <row r="96" spans="2:11" x14ac:dyDescent="0.3">
      <c r="B96" s="441" t="str">
        <f>'MTP_lines-polygons'!E41</f>
        <v>M114</v>
      </c>
      <c r="C96" s="443" t="str">
        <f>'MTP_lines-polygons'!F41</f>
        <v>Don Knotts Blvd (US 19) Improvements</v>
      </c>
      <c r="D96" s="444" t="str">
        <f>'MTP_lines-polygons'!G41</f>
        <v>US 19</v>
      </c>
      <c r="E96" s="443" t="str">
        <f>'MTP_lines-polygons'!H41</f>
        <v>Smithtown Rd (WV73)</v>
      </c>
      <c r="F96" s="443" t="str">
        <f>'MTP_lines-polygons'!I41</f>
        <v>Foundry St</v>
      </c>
      <c r="G96" s="487">
        <f>'MTP_lines-polygons'!P41</f>
        <v>6066220.0312865255</v>
      </c>
      <c r="H96" s="446" t="str">
        <f>'MTP_lines-polygons'!Q41</f>
        <v>Roadway</v>
      </c>
      <c r="I96" s="446" t="str">
        <f>'MTP_lines-polygons'!R41</f>
        <v>FY Deficiency</v>
      </c>
      <c r="J96" s="879" t="s">
        <v>672</v>
      </c>
      <c r="K96" s="442" t="str">
        <f>'MTP_lines-polygons'!E41</f>
        <v>M114</v>
      </c>
    </row>
    <row r="97" spans="2:15" ht="31.2" x14ac:dyDescent="0.3">
      <c r="B97" s="441" t="str">
        <f>'MTP_lines-polygons'!E42</f>
        <v>M115</v>
      </c>
      <c r="C97" s="443" t="str">
        <f>'MTP_lines-polygons'!F42</f>
        <v>Ackerman / Mountain Valley Drive Improvements</v>
      </c>
      <c r="D97" s="444" t="str">
        <f>'MTP_lines-polygons'!G42</f>
        <v>--</v>
      </c>
      <c r="E97" s="443" t="str">
        <f>'MTP_lines-polygons'!H42</f>
        <v>Van Voorhis Rd</v>
      </c>
      <c r="F97" s="443" t="str">
        <f>'MTP_lines-polygons'!I42</f>
        <v>Scenic View Dr</v>
      </c>
      <c r="G97" s="487">
        <f>'MTP_lines-polygons'!P42</f>
        <v>4855038.2275246885</v>
      </c>
      <c r="H97" s="446" t="str">
        <f>'MTP_lines-polygons'!Q42</f>
        <v>Roadway</v>
      </c>
      <c r="I97" s="446" t="str">
        <f>'MTP_lines-polygons'!R42</f>
        <v>MTP Project Corridor</v>
      </c>
      <c r="J97" s="878" t="s">
        <v>1047</v>
      </c>
      <c r="K97" s="442" t="str">
        <f>'MTP_lines-polygons'!E42</f>
        <v>M115</v>
      </c>
    </row>
    <row r="98" spans="2:15" ht="31.2" x14ac:dyDescent="0.3">
      <c r="B98" s="441" t="str">
        <f>'MTP_lines-polygons'!E43</f>
        <v>M116</v>
      </c>
      <c r="C98" s="443" t="str">
        <f>'MTP_lines-polygons'!F43</f>
        <v>Trail Connection-Woodland Trail to Dorsey's Knob</v>
      </c>
      <c r="D98" s="444" t="str">
        <f>'MTP_lines-polygons'!G43</f>
        <v>--</v>
      </c>
      <c r="E98" s="443" t="str">
        <f>'MTP_lines-polygons'!H43</f>
        <v>Woodland Trail</v>
      </c>
      <c r="F98" s="443" t="str">
        <f>'MTP_lines-polygons'!I43</f>
        <v>Dorsey's Knob Park</v>
      </c>
      <c r="G98" s="487">
        <f>'MTP_lines-polygons'!P43</f>
        <v>1026864.2951030476</v>
      </c>
      <c r="H98" s="446" t="str">
        <f>'MTP_lines-polygons'!Q43</f>
        <v>Walk-Bike</v>
      </c>
      <c r="I98" s="446" t="str">
        <f>'MTP_lines-polygons'!R43</f>
        <v>MTP Project Corridor</v>
      </c>
      <c r="J98" s="880" t="s">
        <v>1046</v>
      </c>
      <c r="K98" s="442" t="str">
        <f>'MTP_lines-polygons'!E43</f>
        <v>M116</v>
      </c>
    </row>
    <row r="99" spans="2:15" x14ac:dyDescent="0.3">
      <c r="B99" s="441" t="str">
        <f>'MTP_lines-polygons'!E44</f>
        <v>M117</v>
      </c>
      <c r="C99" s="443" t="str">
        <f>'MTP_lines-polygons'!F44</f>
        <v>Trail Connection-Southern Greenbelt Trail</v>
      </c>
      <c r="D99" s="444" t="str">
        <f>'MTP_lines-polygons'!G44</f>
        <v>--</v>
      </c>
      <c r="E99" s="443" t="str">
        <f>'MTP_lines-polygons'!H44</f>
        <v>Learning Trail Loop</v>
      </c>
      <c r="F99" s="443" t="str">
        <f>'MTP_lines-polygons'!I44</f>
        <v>Deckers Creek Trail</v>
      </c>
      <c r="G99" s="487">
        <f>'MTP_lines-polygons'!P44</f>
        <v>2998159.4984613527</v>
      </c>
      <c r="H99" s="446" t="str">
        <f>'MTP_lines-polygons'!Q44</f>
        <v>Walk-Bike</v>
      </c>
      <c r="I99" s="446" t="str">
        <f>'MTP_lines-polygons'!R44</f>
        <v>MTP Project Corridor</v>
      </c>
      <c r="J99" s="880" t="s">
        <v>1046</v>
      </c>
      <c r="K99" s="442" t="str">
        <f>'MTP_lines-polygons'!E44</f>
        <v>M117</v>
      </c>
    </row>
    <row r="100" spans="2:15" x14ac:dyDescent="0.3">
      <c r="B100" s="441" t="str">
        <f>'MTP_lines-polygons'!E45</f>
        <v>M118</v>
      </c>
      <c r="C100" s="443" t="str">
        <f>'MTP_lines-polygons'!F45</f>
        <v>Trail Connection-Northern Greenbelt Trail</v>
      </c>
      <c r="D100" s="444" t="str">
        <f>'MTP_lines-polygons'!G45</f>
        <v>--</v>
      </c>
      <c r="E100" s="443" t="str">
        <f>'MTP_lines-polygons'!H45</f>
        <v>Falling Run Trail</v>
      </c>
      <c r="F100" s="443" t="str">
        <f>'MTP_lines-polygons'!I45</f>
        <v>Caperton Trail</v>
      </c>
      <c r="G100" s="487">
        <f>'MTP_lines-polygons'!P45</f>
        <v>7480746.3722243169</v>
      </c>
      <c r="H100" s="446" t="str">
        <f>'MTP_lines-polygons'!Q45</f>
        <v>Walk-Bike</v>
      </c>
      <c r="I100" s="446" t="str">
        <f>'MTP_lines-polygons'!R45</f>
        <v>MTP Project Corridor</v>
      </c>
      <c r="J100" s="880" t="s">
        <v>1046</v>
      </c>
      <c r="K100" s="442" t="str">
        <f>'MTP_lines-polygons'!E45</f>
        <v>M118</v>
      </c>
    </row>
    <row r="101" spans="2:15" x14ac:dyDescent="0.3">
      <c r="B101" s="441" t="str">
        <f>'MTP_lines-polygons'!E46</f>
        <v>M119</v>
      </c>
      <c r="C101" s="443" t="str">
        <f>'MTP_lines-polygons'!F46</f>
        <v>Trail Connection-Cheat Lake Northern</v>
      </c>
      <c r="D101" s="444" t="str">
        <f>'MTP_lines-polygons'!G46</f>
        <v>--</v>
      </c>
      <c r="E101" s="443" t="str">
        <f>'MTP_lines-polygons'!H46</f>
        <v>Cheat Lake Tail - Morgan Run</v>
      </c>
      <c r="F101" s="443" t="str">
        <f>'MTP_lines-polygons'!I46</f>
        <v>Darnell Hollow Road</v>
      </c>
      <c r="G101" s="487">
        <f>'MTP_lines-polygons'!P46</f>
        <v>7658516.2500000009</v>
      </c>
      <c r="H101" s="446" t="str">
        <f>'MTP_lines-polygons'!Q46</f>
        <v>Walk-Bike</v>
      </c>
      <c r="I101" s="446" t="str">
        <f>'MTP_lines-polygons'!R46</f>
        <v>MTP Project Corridor</v>
      </c>
      <c r="J101" s="880" t="s">
        <v>1046</v>
      </c>
      <c r="K101" s="442" t="str">
        <f>'MTP_lines-polygons'!E46</f>
        <v>M119</v>
      </c>
    </row>
    <row r="102" spans="2:15" ht="31.2" x14ac:dyDescent="0.3">
      <c r="B102" s="441" t="str">
        <f>'MTP_lines-polygons'!E47</f>
        <v>M120</v>
      </c>
      <c r="C102" s="443" t="str">
        <f>'MTP_lines-polygons'!F47</f>
        <v>Trail Connection-Cheat Lake Southern</v>
      </c>
      <c r="D102" s="444" t="str">
        <f>'MTP_lines-polygons'!G47</f>
        <v>--</v>
      </c>
      <c r="E102" s="443" t="str">
        <f>'MTP_lines-polygons'!H47</f>
        <v>Cheat Lake Rail-Tail</v>
      </c>
      <c r="F102" s="443" t="str">
        <f>'MTP_lines-polygons'!I47</f>
        <v>Coopers Rock Park - Mont Chateau Trail</v>
      </c>
      <c r="G102" s="487">
        <f>'MTP_lines-polygons'!P47</f>
        <v>13151961.9</v>
      </c>
      <c r="H102" s="446" t="str">
        <f>'MTP_lines-polygons'!Q47</f>
        <v>Walk-Bike</v>
      </c>
      <c r="I102" s="446" t="str">
        <f>'MTP_lines-polygons'!R47</f>
        <v>MTP Project Corridor</v>
      </c>
      <c r="J102" s="880" t="s">
        <v>1046</v>
      </c>
      <c r="K102" s="442" t="str">
        <f>'MTP_lines-polygons'!E47</f>
        <v>M120</v>
      </c>
    </row>
    <row r="103" spans="2:15" x14ac:dyDescent="0.3">
      <c r="B103" s="441" t="str">
        <f>'MTP_lines-polygons'!E48</f>
        <v>M121</v>
      </c>
      <c r="C103" s="443" t="str">
        <f>'MTP_lines-polygons'!F48</f>
        <v>Chaplin Rd Improvements</v>
      </c>
      <c r="D103" s="444" t="str">
        <f>'MTP_lines-polygons'!G48</f>
        <v>--</v>
      </c>
      <c r="E103" s="443" t="str">
        <f>'MTP_lines-polygons'!H48</f>
        <v>I-79 Interchange</v>
      </c>
      <c r="F103" s="443" t="str">
        <f>'MTP_lines-polygons'!I48</f>
        <v>Mylan Park</v>
      </c>
      <c r="G103" s="487">
        <f>'MTP_lines-polygons'!P48</f>
        <v>7343822.3163592322</v>
      </c>
      <c r="H103" s="446" t="str">
        <f>'MTP_lines-polygons'!Q48</f>
        <v>Walk-Bike</v>
      </c>
      <c r="I103" s="446" t="str">
        <f>'MTP_lines-polygons'!R48</f>
        <v>MTP Project Corridor</v>
      </c>
      <c r="J103" s="880" t="s">
        <v>1046</v>
      </c>
      <c r="K103" s="442" t="str">
        <f>'MTP_lines-polygons'!E48</f>
        <v>M121</v>
      </c>
    </row>
    <row r="104" spans="2:15" x14ac:dyDescent="0.3">
      <c r="B104" s="441" t="str">
        <f>'MTP_lines-polygons'!E49</f>
        <v>M122</v>
      </c>
      <c r="C104" s="443" t="str">
        <f>'MTP_lines-polygons'!F49</f>
        <v>Trail Connection-Campus Connection</v>
      </c>
      <c r="D104" s="444" t="str">
        <f>'MTP_lines-polygons'!G49</f>
        <v>--</v>
      </c>
      <c r="E104" s="443" t="str">
        <f>'MTP_lines-polygons'!H49</f>
        <v>Grant Ave</v>
      </c>
      <c r="F104" s="443" t="str">
        <f>'MTP_lines-polygons'!I49</f>
        <v>Riverview Dr</v>
      </c>
      <c r="G104" s="487">
        <f>'MTP_lines-polygons'!P49</f>
        <v>2500000</v>
      </c>
      <c r="H104" s="446" t="str">
        <f>'MTP_lines-polygons'!Q49</f>
        <v>Walk-Bike</v>
      </c>
      <c r="I104" s="446" t="str">
        <f>'MTP_lines-polygons'!R49</f>
        <v>MTP Project Corridor</v>
      </c>
      <c r="J104" s="880" t="s">
        <v>1046</v>
      </c>
      <c r="K104" s="442" t="str">
        <f>'MTP_lines-polygons'!E49</f>
        <v>M122</v>
      </c>
    </row>
    <row r="105" spans="2:15" ht="31.2" x14ac:dyDescent="0.3">
      <c r="B105" s="441" t="str">
        <f>'MTP_lines-polygons'!E50</f>
        <v>M123</v>
      </c>
      <c r="C105" s="443" t="str">
        <f>'MTP_lines-polygons'!F50</f>
        <v>Trail Connection-Collins Ferry to Mon River North Trail</v>
      </c>
      <c r="D105" s="444" t="str">
        <f>'MTP_lines-polygons'!G50</f>
        <v>--</v>
      </c>
      <c r="E105" s="443" t="str">
        <f>'MTP_lines-polygons'!H50</f>
        <v>Collins Ferry Rd</v>
      </c>
      <c r="F105" s="443" t="str">
        <f>'MTP_lines-polygons'!I50</f>
        <v>Mon River North Trail</v>
      </c>
      <c r="G105" s="487">
        <f>'MTP_lines-polygons'!P50</f>
        <v>421316.19492484495</v>
      </c>
      <c r="H105" s="446" t="str">
        <f>'MTP_lines-polygons'!Q50</f>
        <v>Walk-Bike</v>
      </c>
      <c r="I105" s="446" t="str">
        <f>'MTP_lines-polygons'!R50</f>
        <v>MTP Project Corridor</v>
      </c>
      <c r="J105" s="880" t="s">
        <v>1046</v>
      </c>
      <c r="K105" s="442" t="str">
        <f>'MTP_lines-polygons'!E50</f>
        <v>M123</v>
      </c>
    </row>
    <row r="106" spans="2:15" x14ac:dyDescent="0.3">
      <c r="B106" s="441" t="str">
        <f>'MTP_lines-polygons'!E51</f>
        <v>M124</v>
      </c>
      <c r="C106" s="443" t="str">
        <f>'MTP_lines-polygons'!F51</f>
        <v>Collins Ferry Rd Multimodal Improvements</v>
      </c>
      <c r="D106" s="444" t="str">
        <f>'MTP_lines-polygons'!G51</f>
        <v>--</v>
      </c>
      <c r="E106" s="443" t="str">
        <f>'MTP_lines-polygons'!H51</f>
        <v>Suncrest Elementary School</v>
      </c>
      <c r="F106" s="443" t="str">
        <f>'MTP_lines-polygons'!I51</f>
        <v>Mon River North Trail Head</v>
      </c>
      <c r="G106" s="487">
        <f>'MTP_lines-polygons'!P51</f>
        <v>614606.30155918107</v>
      </c>
      <c r="H106" s="446" t="str">
        <f>'MTP_lines-polygons'!Q51</f>
        <v>Walk-Bike</v>
      </c>
      <c r="I106" s="446" t="str">
        <f>'MTP_lines-polygons'!R51</f>
        <v>MTP Project Corridor</v>
      </c>
      <c r="J106" s="880" t="s">
        <v>1046</v>
      </c>
      <c r="K106" s="442" t="str">
        <f>'MTP_lines-polygons'!E51</f>
        <v>M124</v>
      </c>
    </row>
    <row r="107" spans="2:15" x14ac:dyDescent="0.3">
      <c r="B107" s="441" t="str">
        <f>'MTP_lines-polygons'!E52</f>
        <v>M125</v>
      </c>
      <c r="C107" s="443" t="str">
        <f>'MTP_lines-polygons'!F52</f>
        <v>WV-705 Multiuse Path</v>
      </c>
      <c r="D107" s="444" t="str">
        <f>'MTP_lines-polygons'!G52</f>
        <v>--</v>
      </c>
      <c r="E107" s="443" t="str">
        <f>'MTP_lines-polygons'!H52</f>
        <v>Don Nehlen / Mon General Dr</v>
      </c>
      <c r="F107" s="443" t="str">
        <f>'MTP_lines-polygons'!I52</f>
        <v>Stewartstown Rd</v>
      </c>
      <c r="G107" s="487">
        <f>'MTP_lines-polygons'!P52</f>
        <v>2658435.0032374202</v>
      </c>
      <c r="H107" s="446" t="str">
        <f>'MTP_lines-polygons'!Q52</f>
        <v>Walk-Bike</v>
      </c>
      <c r="I107" s="446" t="str">
        <f>'MTP_lines-polygons'!R52</f>
        <v>MTP Project Corridor</v>
      </c>
      <c r="J107" s="880" t="s">
        <v>1046</v>
      </c>
      <c r="K107" s="442" t="str">
        <f>'MTP_lines-polygons'!E52</f>
        <v>M125</v>
      </c>
    </row>
    <row r="108" spans="2:15" ht="31.8" thickBot="1" x14ac:dyDescent="0.35">
      <c r="B108" s="447" t="str">
        <f>'MTP_lines-polygons'!E53</f>
        <v>M126</v>
      </c>
      <c r="C108" s="448" t="str">
        <f>'MTP_lines-polygons'!F53</f>
        <v>Trail Connection-Caperton Trail to Evansdale Dr</v>
      </c>
      <c r="D108" s="449" t="str">
        <f>'MTP_lines-polygons'!G53</f>
        <v>--</v>
      </c>
      <c r="E108" s="448" t="str">
        <f>'MTP_lines-polygons'!H53</f>
        <v>Caperton Trail</v>
      </c>
      <c r="F108" s="448" t="str">
        <f>'MTP_lines-polygons'!I53</f>
        <v>Evansdale Dr</v>
      </c>
      <c r="G108" s="929">
        <f>'MTP_lines-polygons'!P53</f>
        <v>2296826.7659122501</v>
      </c>
      <c r="H108" s="451" t="str">
        <f>'MTP_lines-polygons'!Q53</f>
        <v>Walk-Bike</v>
      </c>
      <c r="I108" s="451" t="str">
        <f>'MTP_lines-polygons'!R53</f>
        <v>MTP Project Corridor</v>
      </c>
      <c r="J108" s="881" t="s">
        <v>1046</v>
      </c>
      <c r="K108" s="452" t="str">
        <f>'MTP_lines-polygons'!E53</f>
        <v>M126</v>
      </c>
    </row>
    <row r="109" spans="2:15" s="434" customFormat="1" ht="16.2" thickBot="1" x14ac:dyDescent="0.35">
      <c r="B109" s="453"/>
      <c r="C109" s="454"/>
      <c r="D109" s="455"/>
      <c r="E109" s="454"/>
      <c r="F109" s="454"/>
      <c r="G109" s="488"/>
      <c r="H109" s="457"/>
      <c r="I109" s="457"/>
      <c r="J109" s="457"/>
      <c r="K109" s="453"/>
    </row>
    <row r="110" spans="2:15" s="464" customFormat="1" ht="18" x14ac:dyDescent="0.3">
      <c r="B110" s="471" t="s">
        <v>1025</v>
      </c>
      <c r="C110" s="472"/>
      <c r="D110" s="473"/>
      <c r="E110" s="472"/>
      <c r="F110" s="472"/>
      <c r="G110" s="474"/>
      <c r="H110" s="475"/>
      <c r="I110" s="475"/>
      <c r="J110" s="475"/>
      <c r="K110" s="476"/>
    </row>
    <row r="111" spans="2:15" ht="16.2" thickBot="1" x14ac:dyDescent="0.35">
      <c r="B111" s="479" t="s">
        <v>1014</v>
      </c>
      <c r="C111" s="536" t="s">
        <v>2</v>
      </c>
      <c r="D111" s="537" t="s">
        <v>10</v>
      </c>
      <c r="E111" s="536" t="s">
        <v>3</v>
      </c>
      <c r="F111" s="536" t="s">
        <v>4</v>
      </c>
      <c r="G111" s="538" t="s">
        <v>1026</v>
      </c>
      <c r="H111" s="539" t="s">
        <v>13</v>
      </c>
      <c r="I111" s="539" t="s">
        <v>14</v>
      </c>
      <c r="J111" s="539" t="s">
        <v>15</v>
      </c>
      <c r="K111" s="480" t="s">
        <v>1014</v>
      </c>
    </row>
    <row r="112" spans="2:15" ht="31.2" x14ac:dyDescent="0.3">
      <c r="B112" s="540" t="str">
        <f>'MTP_lines-polygons'!E54</f>
        <v>C1</v>
      </c>
      <c r="C112" s="547" t="str">
        <f>'MTP_lines-polygons'!F54</f>
        <v>Morgantown Industrial Park Access Improvements</v>
      </c>
      <c r="D112" s="541" t="str">
        <f>'MTP_lines-polygons'!G54</f>
        <v>I-79</v>
      </c>
      <c r="E112" s="547" t="str">
        <f>'MTP_lines-polygons'!H54</f>
        <v>New Exit 150 (River Road)</v>
      </c>
      <c r="F112" s="547" t="str">
        <f>'MTP_lines-polygons'!I54</f>
        <v>--</v>
      </c>
      <c r="G112" s="542">
        <f>'MTP_lines-polygons'!N54</f>
        <v>18000000</v>
      </c>
      <c r="H112" s="546" t="str">
        <f>'MTP_lines-polygons'!Q54</f>
        <v>Roadway</v>
      </c>
      <c r="I112" s="546" t="str">
        <f>'MTP_lines-polygons'!R54</f>
        <v>MTP Project Subarea</v>
      </c>
      <c r="J112" s="863" t="s">
        <v>1050</v>
      </c>
      <c r="K112" s="543" t="str">
        <f>'MTP_lines-polygons'!E54</f>
        <v>C1</v>
      </c>
      <c r="N112" s="431" t="s">
        <v>573</v>
      </c>
      <c r="O112" s="462" t="s">
        <v>1050</v>
      </c>
    </row>
    <row r="113" spans="2:15" x14ac:dyDescent="0.3">
      <c r="B113" s="441" t="str">
        <f>'MTP_lines-polygons'!E56</f>
        <v>C2a</v>
      </c>
      <c r="C113" s="443" t="str">
        <f>'MTP_lines-polygons'!F56</f>
        <v>Beechurst Avenue Study</v>
      </c>
      <c r="D113" s="444" t="str">
        <f>'MTP_lines-polygons'!G56</f>
        <v>US 19</v>
      </c>
      <c r="E113" s="443" t="str">
        <f>'MTP_lines-polygons'!H56</f>
        <v>University Ave</v>
      </c>
      <c r="F113" s="443" t="str">
        <f>'MTP_lines-polygons'!I56</f>
        <v>8th St</v>
      </c>
      <c r="G113" s="445" t="str">
        <f>'MTP_lines-polygons'!N56</f>
        <v>--</v>
      </c>
      <c r="H113" s="446" t="str">
        <f>'MTP_lines-polygons'!Q56</f>
        <v>Roadway</v>
      </c>
      <c r="I113" s="446" t="str">
        <f>'MTP_lines-polygons'!R56</f>
        <v>MTP Project Subarea</v>
      </c>
      <c r="J113" s="462" t="s">
        <v>1050</v>
      </c>
      <c r="K113" s="442" t="str">
        <f>'MTP_lines-polygons'!E56</f>
        <v>C2a</v>
      </c>
      <c r="N113" s="431" t="s">
        <v>343</v>
      </c>
      <c r="O113" s="463" t="s">
        <v>1137</v>
      </c>
    </row>
    <row r="114" spans="2:15" x14ac:dyDescent="0.3">
      <c r="B114" s="441" t="str">
        <f>'MTP_lines-polygons'!E55</f>
        <v>C2</v>
      </c>
      <c r="C114" s="443" t="str">
        <f>'MTP_lines-polygons'!F55</f>
        <v>Downtown Morgantown Master Plan Study</v>
      </c>
      <c r="D114" s="444" t="str">
        <f>'MTP_lines-polygons'!G55</f>
        <v>--</v>
      </c>
      <c r="E114" s="443" t="str">
        <f>'MTP_lines-polygons'!H55</f>
        <v>Downtown Morgantown</v>
      </c>
      <c r="F114" s="443" t="str">
        <f>'MTP_lines-polygons'!I55</f>
        <v>--</v>
      </c>
      <c r="G114" s="445" t="str">
        <f>'MTP_lines-polygons'!N55</f>
        <v>--</v>
      </c>
      <c r="H114" s="446" t="str">
        <f>'MTP_lines-polygons'!Q55</f>
        <v>Roadway</v>
      </c>
      <c r="I114" s="446" t="str">
        <f>'MTP_lines-polygons'!R55</f>
        <v>MTP Project Subarea</v>
      </c>
      <c r="J114" s="462" t="s">
        <v>1050</v>
      </c>
      <c r="K114" s="442" t="str">
        <f>'MTP_lines-polygons'!E55</f>
        <v>C2</v>
      </c>
      <c r="N114" s="431" t="s">
        <v>343</v>
      </c>
      <c r="O114" s="463" t="s">
        <v>1051</v>
      </c>
    </row>
    <row r="115" spans="2:15" x14ac:dyDescent="0.3">
      <c r="B115" s="441" t="str">
        <f>'MTP_lines-polygons'!E57</f>
        <v>C3</v>
      </c>
      <c r="C115" s="443" t="str">
        <f>'MTP_lines-polygons'!F57</f>
        <v>Evansdale Neighborhood Safety Study</v>
      </c>
      <c r="D115" s="444" t="str">
        <f>'MTP_lines-polygons'!G57</f>
        <v>--</v>
      </c>
      <c r="E115" s="443" t="str">
        <f>'MTP_lines-polygons'!H57</f>
        <v>Evansdale Neighborhood</v>
      </c>
      <c r="F115" s="443" t="str">
        <f>'MTP_lines-polygons'!I57</f>
        <v>--</v>
      </c>
      <c r="G115" s="445" t="str">
        <f>'MTP_lines-polygons'!N57</f>
        <v>--</v>
      </c>
      <c r="H115" s="446" t="str">
        <f>'MTP_lines-polygons'!Q57</f>
        <v>Roadway</v>
      </c>
      <c r="I115" s="446" t="str">
        <f>'MTP_lines-polygons'!R57</f>
        <v>MTP Project Subarea</v>
      </c>
      <c r="J115" s="462" t="s">
        <v>1050</v>
      </c>
      <c r="K115" s="442" t="str">
        <f>'MTP_lines-polygons'!E57</f>
        <v>C3</v>
      </c>
      <c r="N115" s="431" t="s">
        <v>1155</v>
      </c>
      <c r="O115" s="481" t="s">
        <v>1052</v>
      </c>
    </row>
    <row r="116" spans="2:15" x14ac:dyDescent="0.3">
      <c r="B116" s="441" t="str">
        <f>'MTP_lines-polygons'!E58</f>
        <v>C4</v>
      </c>
      <c r="C116" s="443" t="str">
        <f>'MTP_lines-polygons'!F58</f>
        <v>Morgantown Waterfront Transportation Study</v>
      </c>
      <c r="D116" s="444" t="str">
        <f>'MTP_lines-polygons'!G58</f>
        <v>--</v>
      </c>
      <c r="E116" s="443" t="str">
        <f>'MTP_lines-polygons'!H58</f>
        <v>Morgantown Waterfront</v>
      </c>
      <c r="F116" s="443" t="str">
        <f>'MTP_lines-polygons'!I58</f>
        <v>Downtown</v>
      </c>
      <c r="G116" s="445" t="str">
        <f>'MTP_lines-polygons'!N58</f>
        <v>--</v>
      </c>
      <c r="H116" s="446" t="str">
        <f>'MTP_lines-polygons'!Q58</f>
        <v>Roadway</v>
      </c>
      <c r="I116" s="446" t="str">
        <f>'MTP_lines-polygons'!R58</f>
        <v>MTP Project Subarea</v>
      </c>
      <c r="J116" s="462" t="s">
        <v>1050</v>
      </c>
      <c r="K116" s="442" t="str">
        <f>'MTP_lines-polygons'!E58</f>
        <v>C4</v>
      </c>
    </row>
    <row r="117" spans="2:15" ht="31.2" x14ac:dyDescent="0.3">
      <c r="B117" s="441" t="str">
        <f>'MTP_lines-polygons'!E59</f>
        <v>C5</v>
      </c>
      <c r="C117" s="443" t="str">
        <f>'MTP_lines-polygons'!F59</f>
        <v>Protzman/Falling Run Pedestrian and Bicycle Connector</v>
      </c>
      <c r="D117" s="444" t="str">
        <f>'MTP_lines-polygons'!G59</f>
        <v>--</v>
      </c>
      <c r="E117" s="443" t="str">
        <f>'MTP_lines-polygons'!H59</f>
        <v>End of Trail</v>
      </c>
      <c r="F117" s="443" t="str">
        <f>'MTP_lines-polygons'!I59</f>
        <v>University Ave</v>
      </c>
      <c r="G117" s="445">
        <f>'MTP_lines-polygons'!N59</f>
        <v>1000000</v>
      </c>
      <c r="H117" s="446" t="str">
        <f>'MTP_lines-polygons'!Q59</f>
        <v>Walk-Bike</v>
      </c>
      <c r="I117" s="446" t="str">
        <f>'MTP_lines-polygons'!R59</f>
        <v>New Connection</v>
      </c>
      <c r="J117" s="463" t="s">
        <v>1137</v>
      </c>
      <c r="K117" s="442" t="str">
        <f>'MTP_lines-polygons'!E59</f>
        <v>C5</v>
      </c>
    </row>
    <row r="118" spans="2:15" ht="31.2" x14ac:dyDescent="0.3">
      <c r="B118" s="441" t="str">
        <f>'MTP_lines-polygons'!E60</f>
        <v>C6</v>
      </c>
      <c r="C118" s="443" t="str">
        <f>'MTP_lines-polygons'!F60</f>
        <v>New Roadway Connection - Mileground to Hartman Run</v>
      </c>
      <c r="D118" s="444" t="str">
        <f>'MTP_lines-polygons'!G60</f>
        <v>--</v>
      </c>
      <c r="E118" s="443" t="str">
        <f>'MTP_lines-polygons'!H60</f>
        <v>Mileground Rd (US 119)</v>
      </c>
      <c r="F118" s="443" t="str">
        <f>'MTP_lines-polygons'!I60</f>
        <v>Hartman Run Rd</v>
      </c>
      <c r="G118" s="445">
        <f>'MTP_lines-polygons'!N60</f>
        <v>17000000</v>
      </c>
      <c r="H118" s="446" t="str">
        <f>'MTP_lines-polygons'!Q60</f>
        <v>Roadway</v>
      </c>
      <c r="I118" s="446" t="str">
        <f>'MTP_lines-polygons'!R60</f>
        <v>New Connection</v>
      </c>
      <c r="J118" s="463" t="s">
        <v>1051</v>
      </c>
      <c r="K118" s="442" t="str">
        <f>'MTP_lines-polygons'!E60</f>
        <v>C6</v>
      </c>
    </row>
    <row r="119" spans="2:15" ht="31.2" x14ac:dyDescent="0.3">
      <c r="B119" s="441" t="str">
        <f>'MTP_lines-polygons'!E61</f>
        <v>C7</v>
      </c>
      <c r="C119" s="443" t="str">
        <f>'MTP_lines-polygons'!F61</f>
        <v>New Roadway Connection - Stewart to Mileground</v>
      </c>
      <c r="D119" s="444" t="str">
        <f>'MTP_lines-polygons'!G61</f>
        <v>--</v>
      </c>
      <c r="E119" s="443" t="str">
        <f>'MTP_lines-polygons'!H61</f>
        <v>VanGilder Ave / Protzman / Stewart St</v>
      </c>
      <c r="F119" s="443" t="str">
        <f>'MTP_lines-polygons'!I61</f>
        <v>Mileground Rd / Robinson St</v>
      </c>
      <c r="G119" s="445">
        <f>'MTP_lines-polygons'!N61</f>
        <v>6000000</v>
      </c>
      <c r="H119" s="446" t="str">
        <f>'MTP_lines-polygons'!Q61</f>
        <v>Roadway</v>
      </c>
      <c r="I119" s="446" t="str">
        <f>'MTP_lines-polygons'!R61</f>
        <v>New Connection</v>
      </c>
      <c r="J119" s="463" t="s">
        <v>1051</v>
      </c>
      <c r="K119" s="442" t="str">
        <f>'MTP_lines-polygons'!E61</f>
        <v>C7</v>
      </c>
    </row>
    <row r="120" spans="2:15" x14ac:dyDescent="0.3">
      <c r="B120" s="441" t="str">
        <f>'MTP_lines-polygons'!E62</f>
        <v>C8</v>
      </c>
      <c r="C120" s="443" t="str">
        <f>'MTP_lines-polygons'!F62</f>
        <v>Extension of Airport Industrial Road</v>
      </c>
      <c r="D120" s="444" t="str">
        <f>'MTP_lines-polygons'!G62</f>
        <v>--</v>
      </c>
      <c r="E120" s="443" t="str">
        <f>'MTP_lines-polygons'!H62</f>
        <v>Near I-68 / Cheat Rd</v>
      </c>
      <c r="F120" s="443" t="str">
        <f>'MTP_lines-polygons'!I62</f>
        <v>WV 7 in Sabraton</v>
      </c>
      <c r="G120" s="445">
        <f>'MTP_lines-polygons'!N62</f>
        <v>12000000</v>
      </c>
      <c r="H120" s="446" t="str">
        <f>'MTP_lines-polygons'!Q62</f>
        <v>Roadway</v>
      </c>
      <c r="I120" s="446" t="str">
        <f>'MTP_lines-polygons'!R62</f>
        <v>New Connection</v>
      </c>
      <c r="J120" s="463" t="s">
        <v>1051</v>
      </c>
      <c r="K120" s="442" t="str">
        <f>'MTP_lines-polygons'!E62</f>
        <v>C8</v>
      </c>
    </row>
    <row r="121" spans="2:15" ht="31.2" x14ac:dyDescent="0.3">
      <c r="B121" s="441" t="str">
        <f>'MTP_lines-polygons'!E63</f>
        <v>C9</v>
      </c>
      <c r="C121" s="443" t="str">
        <f>'MTP_lines-polygons'!F63</f>
        <v>New Roadway Connection - Mountain Valley Drive Extension</v>
      </c>
      <c r="D121" s="444" t="str">
        <f>'MTP_lines-polygons'!G63</f>
        <v>--</v>
      </c>
      <c r="E121" s="443" t="str">
        <f>'MTP_lines-polygons'!H63</f>
        <v>Mountain Valley Drive</v>
      </c>
      <c r="F121" s="443" t="str">
        <f>'MTP_lines-polygons'!I63</f>
        <v>Lazelle Union Rd</v>
      </c>
      <c r="G121" s="445" t="str">
        <f>'MTP_lines-polygons'!N63</f>
        <v>--</v>
      </c>
      <c r="H121" s="446" t="str">
        <f>'MTP_lines-polygons'!Q63</f>
        <v>Roadway</v>
      </c>
      <c r="I121" s="446" t="str">
        <f>'MTP_lines-polygons'!R63</f>
        <v>New Connection</v>
      </c>
      <c r="J121" s="463" t="s">
        <v>1051</v>
      </c>
      <c r="K121" s="442" t="str">
        <f>'MTP_lines-polygons'!E63</f>
        <v>C9</v>
      </c>
    </row>
    <row r="122" spans="2:15" ht="31.2" x14ac:dyDescent="0.3">
      <c r="B122" s="441" t="str">
        <f>'MTP_lines-polygons'!E64</f>
        <v>C10</v>
      </c>
      <c r="C122" s="443" t="str">
        <f>'MTP_lines-polygons'!F64</f>
        <v>New Roadway Connection - Southern Mon River Bridge</v>
      </c>
      <c r="D122" s="444" t="str">
        <f>'MTP_lines-polygons'!G64</f>
        <v>--</v>
      </c>
      <c r="E122" s="443" t="str">
        <f>'MTP_lines-polygons'!H64</f>
        <v>Greenbag Rd</v>
      </c>
      <c r="F122" s="443" t="str">
        <f>'MTP_lines-polygons'!I64</f>
        <v>Industrial Park Dr</v>
      </c>
      <c r="G122" s="445" t="str">
        <f>'MTP_lines-polygons'!N64</f>
        <v>--</v>
      </c>
      <c r="H122" s="446" t="str">
        <f>'MTP_lines-polygons'!Q64</f>
        <v>Roadway</v>
      </c>
      <c r="I122" s="446" t="str">
        <f>'MTP_lines-polygons'!R64</f>
        <v>New Connection</v>
      </c>
      <c r="J122" s="463" t="s">
        <v>1051</v>
      </c>
      <c r="K122" s="442" t="str">
        <f>'MTP_lines-polygons'!E64</f>
        <v>C10</v>
      </c>
    </row>
    <row r="123" spans="2:15" x14ac:dyDescent="0.3">
      <c r="B123" s="441" t="str">
        <f>'MTP_lines-polygons'!E65</f>
        <v>C11</v>
      </c>
      <c r="C123" s="443" t="str">
        <f>'MTP_lines-polygons'!F65</f>
        <v>New Roadway Connection - Industrial Park Rd</v>
      </c>
      <c r="D123" s="444" t="str">
        <f>'MTP_lines-polygons'!G65</f>
        <v>--</v>
      </c>
      <c r="E123" s="443" t="str">
        <f>'MTP_lines-polygons'!H65</f>
        <v>River Rd</v>
      </c>
      <c r="F123" s="443" t="str">
        <f>'MTP_lines-polygons'!I65</f>
        <v>Industrial Park Dr</v>
      </c>
      <c r="G123" s="445" t="str">
        <f>'MTP_lines-polygons'!N65</f>
        <v>--</v>
      </c>
      <c r="H123" s="446" t="str">
        <f>'MTP_lines-polygons'!Q65</f>
        <v>Roadway</v>
      </c>
      <c r="I123" s="446" t="str">
        <f>'MTP_lines-polygons'!R65</f>
        <v>New Connection</v>
      </c>
      <c r="J123" s="463" t="s">
        <v>1051</v>
      </c>
      <c r="K123" s="442" t="str">
        <f>'MTP_lines-polygons'!E65</f>
        <v>C11</v>
      </c>
    </row>
    <row r="124" spans="2:15" x14ac:dyDescent="0.3">
      <c r="B124" s="441" t="str">
        <f>'MTP_lines-polygons'!E66</f>
        <v>C12</v>
      </c>
      <c r="C124" s="443" t="str">
        <f>'MTP_lines-polygons'!F66</f>
        <v>PRT Extension - Segment 1</v>
      </c>
      <c r="D124" s="444" t="str">
        <f>'MTP_lines-polygons'!G66</f>
        <v>--</v>
      </c>
      <c r="E124" s="443" t="str">
        <f>'MTP_lines-polygons'!H66</f>
        <v>University Health Sciences</v>
      </c>
      <c r="F124" s="443" t="str">
        <f>'MTP_lines-polygons'!I66</f>
        <v>Mon General Hospital</v>
      </c>
      <c r="G124" s="445">
        <f>'MTP_lines-polygons'!N66</f>
        <v>57000000</v>
      </c>
      <c r="H124" s="446" t="str">
        <f>'MTP_lines-polygons'!Q66</f>
        <v>Transit</v>
      </c>
      <c r="I124" s="446" t="str">
        <f>'MTP_lines-polygons'!R66</f>
        <v>New Connection</v>
      </c>
      <c r="J124" s="481" t="s">
        <v>1052</v>
      </c>
      <c r="K124" s="442" t="str">
        <f>'MTP_lines-polygons'!E66</f>
        <v>C12</v>
      </c>
    </row>
    <row r="125" spans="2:15" ht="16.2" thickBot="1" x14ac:dyDescent="0.35">
      <c r="B125" s="447" t="str">
        <f>'MTP_lines-polygons'!E67</f>
        <v>C13</v>
      </c>
      <c r="C125" s="448" t="str">
        <f>'MTP_lines-polygons'!F67</f>
        <v>PRT Extension - Segment 2</v>
      </c>
      <c r="D125" s="449" t="str">
        <f>'MTP_lines-polygons'!G67</f>
        <v>--</v>
      </c>
      <c r="E125" s="448" t="str">
        <f>'MTP_lines-polygons'!H67</f>
        <v>Mon General Hospital</v>
      </c>
      <c r="F125" s="448" t="str">
        <f>'MTP_lines-polygons'!I67</f>
        <v>Glenmark Centre</v>
      </c>
      <c r="G125" s="450">
        <f>'MTP_lines-polygons'!N67</f>
        <v>103000000</v>
      </c>
      <c r="H125" s="451" t="str">
        <f>'MTP_lines-polygons'!Q67</f>
        <v>Transit</v>
      </c>
      <c r="I125" s="451" t="str">
        <f>'MTP_lines-polygons'!R67</f>
        <v>New Connection</v>
      </c>
      <c r="J125" s="1005" t="s">
        <v>1052</v>
      </c>
      <c r="K125" s="452" t="str">
        <f>'MTP_lines-polygons'!E67</f>
        <v>C13</v>
      </c>
    </row>
    <row r="126" spans="2:15" ht="16.2" thickBot="1" x14ac:dyDescent="0.35">
      <c r="G126" s="456"/>
    </row>
    <row r="127" spans="2:15" ht="18" x14ac:dyDescent="0.3">
      <c r="B127" s="471" t="s">
        <v>1058</v>
      </c>
      <c r="C127" s="472"/>
      <c r="D127" s="473"/>
      <c r="E127" s="472"/>
      <c r="F127" s="472"/>
      <c r="G127" s="474"/>
      <c r="H127" s="474"/>
      <c r="I127" s="475"/>
      <c r="J127" s="475"/>
      <c r="K127" s="476"/>
    </row>
    <row r="128" spans="2:15" ht="16.2" thickBot="1" x14ac:dyDescent="0.35">
      <c r="B128" s="479" t="s">
        <v>1014</v>
      </c>
      <c r="C128" s="536" t="s">
        <v>2</v>
      </c>
      <c r="D128" s="537" t="s">
        <v>10</v>
      </c>
      <c r="E128" s="536" t="s">
        <v>3</v>
      </c>
      <c r="F128" s="536" t="s">
        <v>4</v>
      </c>
      <c r="G128" s="538" t="s">
        <v>1026</v>
      </c>
      <c r="H128" s="539" t="s">
        <v>13</v>
      </c>
      <c r="I128" s="539" t="s">
        <v>14</v>
      </c>
      <c r="J128" s="539" t="s">
        <v>15</v>
      </c>
      <c r="K128" s="480" t="s">
        <v>1014</v>
      </c>
    </row>
    <row r="129" spans="2:11" x14ac:dyDescent="0.3">
      <c r="B129" s="864" t="s">
        <v>885</v>
      </c>
      <c r="C129" s="865" t="s">
        <v>1141</v>
      </c>
      <c r="D129" s="866" t="s">
        <v>376</v>
      </c>
      <c r="E129" s="867" t="s">
        <v>1139</v>
      </c>
      <c r="F129" s="868" t="s">
        <v>376</v>
      </c>
      <c r="G129" s="869">
        <v>0</v>
      </c>
      <c r="H129" s="865" t="s">
        <v>48</v>
      </c>
      <c r="I129" s="865" t="s">
        <v>1140</v>
      </c>
      <c r="J129" s="870" t="s">
        <v>1151</v>
      </c>
      <c r="K129" s="871" t="s">
        <v>885</v>
      </c>
    </row>
    <row r="130" spans="2:11" x14ac:dyDescent="0.3">
      <c r="B130" s="559" t="s">
        <v>1146</v>
      </c>
      <c r="C130" s="565" t="s">
        <v>1156</v>
      </c>
      <c r="D130" s="544" t="s">
        <v>376</v>
      </c>
      <c r="E130" s="565" t="s">
        <v>1147</v>
      </c>
      <c r="F130" s="566" t="s">
        <v>376</v>
      </c>
      <c r="G130" s="561">
        <v>0</v>
      </c>
      <c r="H130" s="565" t="s">
        <v>48</v>
      </c>
      <c r="I130" s="565" t="s">
        <v>1140</v>
      </c>
      <c r="J130" s="567" t="s">
        <v>1151</v>
      </c>
      <c r="K130" s="560" t="s">
        <v>1146</v>
      </c>
    </row>
    <row r="131" spans="2:11" x14ac:dyDescent="0.3">
      <c r="B131" s="559" t="s">
        <v>887</v>
      </c>
      <c r="C131" s="565" t="s">
        <v>1142</v>
      </c>
      <c r="D131" s="544" t="s">
        <v>376</v>
      </c>
      <c r="E131" s="566" t="s">
        <v>376</v>
      </c>
      <c r="F131" s="566" t="s">
        <v>376</v>
      </c>
      <c r="G131" s="561">
        <v>0</v>
      </c>
      <c r="H131" s="565" t="s">
        <v>48</v>
      </c>
      <c r="I131" s="565" t="s">
        <v>1140</v>
      </c>
      <c r="J131" s="568" t="s">
        <v>1152</v>
      </c>
      <c r="K131" s="560" t="s">
        <v>887</v>
      </c>
    </row>
    <row r="132" spans="2:11" ht="31.2" x14ac:dyDescent="0.3">
      <c r="B132" s="559" t="s">
        <v>1159</v>
      </c>
      <c r="C132" s="569" t="s">
        <v>356</v>
      </c>
      <c r="D132" s="544" t="s">
        <v>1144</v>
      </c>
      <c r="E132" s="565" t="s">
        <v>874</v>
      </c>
      <c r="F132" s="565" t="s">
        <v>875</v>
      </c>
      <c r="G132" s="561">
        <v>57000000</v>
      </c>
      <c r="H132" s="565" t="s">
        <v>48</v>
      </c>
      <c r="I132" s="565" t="s">
        <v>343</v>
      </c>
      <c r="J132" s="570" t="s">
        <v>1052</v>
      </c>
      <c r="K132" s="560" t="s">
        <v>1159</v>
      </c>
    </row>
    <row r="133" spans="2:11" ht="31.2" x14ac:dyDescent="0.3">
      <c r="B133" s="559" t="s">
        <v>1160</v>
      </c>
      <c r="C133" s="569" t="s">
        <v>352</v>
      </c>
      <c r="D133" s="544" t="s">
        <v>1144</v>
      </c>
      <c r="E133" s="565" t="s">
        <v>875</v>
      </c>
      <c r="F133" s="565" t="s">
        <v>877</v>
      </c>
      <c r="G133" s="561">
        <v>103000000</v>
      </c>
      <c r="H133" s="565" t="s">
        <v>48</v>
      </c>
      <c r="I133" s="565" t="s">
        <v>343</v>
      </c>
      <c r="J133" s="570" t="s">
        <v>1052</v>
      </c>
      <c r="K133" s="560" t="s">
        <v>1160</v>
      </c>
    </row>
    <row r="134" spans="2:11" x14ac:dyDescent="0.3">
      <c r="B134" s="559" t="s">
        <v>826</v>
      </c>
      <c r="C134" s="565" t="s">
        <v>1145</v>
      </c>
      <c r="D134" s="544" t="s">
        <v>376</v>
      </c>
      <c r="E134" s="566" t="s">
        <v>376</v>
      </c>
      <c r="F134" s="566" t="s">
        <v>376</v>
      </c>
      <c r="G134" s="561">
        <v>0</v>
      </c>
      <c r="H134" s="565" t="s">
        <v>48</v>
      </c>
      <c r="I134" s="565" t="s">
        <v>1140</v>
      </c>
      <c r="J134" s="568" t="s">
        <v>1153</v>
      </c>
      <c r="K134" s="560" t="s">
        <v>826</v>
      </c>
    </row>
    <row r="135" spans="2:11" x14ac:dyDescent="0.3">
      <c r="B135" s="559" t="s">
        <v>1157</v>
      </c>
      <c r="C135" s="565" t="s">
        <v>277</v>
      </c>
      <c r="D135" s="544" t="s">
        <v>1143</v>
      </c>
      <c r="E135" s="565" t="s">
        <v>869</v>
      </c>
      <c r="F135" s="565" t="s">
        <v>870</v>
      </c>
      <c r="G135" s="561">
        <v>1000000</v>
      </c>
      <c r="H135" s="565" t="s">
        <v>48</v>
      </c>
      <c r="I135" s="565" t="s">
        <v>273</v>
      </c>
      <c r="J135" s="535" t="s">
        <v>1154</v>
      </c>
      <c r="K135" s="560" t="s">
        <v>1157</v>
      </c>
    </row>
    <row r="136" spans="2:11" x14ac:dyDescent="0.3">
      <c r="B136" s="559" t="s">
        <v>1158</v>
      </c>
      <c r="C136" s="565" t="s">
        <v>1064</v>
      </c>
      <c r="D136" s="544" t="s">
        <v>1143</v>
      </c>
      <c r="E136" s="565" t="s">
        <v>856</v>
      </c>
      <c r="F136" s="534" t="s">
        <v>857</v>
      </c>
      <c r="G136" s="571">
        <v>36000000</v>
      </c>
      <c r="H136" s="565" t="s">
        <v>48</v>
      </c>
      <c r="I136" s="565" t="s">
        <v>273</v>
      </c>
      <c r="J136" s="535" t="s">
        <v>1154</v>
      </c>
      <c r="K136" s="560" t="s">
        <v>1158</v>
      </c>
    </row>
    <row r="137" spans="2:11" ht="16.2" thickBot="1" x14ac:dyDescent="0.35">
      <c r="B137" s="562" t="s">
        <v>828</v>
      </c>
      <c r="C137" s="971" t="s">
        <v>1148</v>
      </c>
      <c r="D137" s="883" t="s">
        <v>376</v>
      </c>
      <c r="E137" s="972" t="s">
        <v>376</v>
      </c>
      <c r="F137" s="972" t="s">
        <v>376</v>
      </c>
      <c r="G137" s="563">
        <v>0</v>
      </c>
      <c r="H137" s="971" t="s">
        <v>48</v>
      </c>
      <c r="I137" s="971" t="s">
        <v>1140</v>
      </c>
      <c r="J137" s="973" t="s">
        <v>1152</v>
      </c>
      <c r="K137" s="564" t="s">
        <v>828</v>
      </c>
    </row>
  </sheetData>
  <phoneticPr fontId="29" type="noConversion"/>
  <conditionalFormatting sqref="B4:F4 B111:F111 B25:F25 B5:C24 K5:K24 E5:F24 H5:I24 H25:K25 H109:K109 H111:K111 H56:K56 H4:K4 H54:K54 B56:F109 H57:I108 K57:K108 B28:F54 K28:K53 H28:I53">
    <cfRule type="expression" dxfId="222" priority="101">
      <formula>MOD(ROW(),2)=0</formula>
    </cfRule>
  </conditionalFormatting>
  <conditionalFormatting sqref="B27:F27 H27:K27">
    <cfRule type="expression" dxfId="221" priority="97">
      <formula>MOD(ROW(),2)=0</formula>
    </cfRule>
  </conditionalFormatting>
  <conditionalFormatting sqref="B112:F125 K112:K125 H112:I125">
    <cfRule type="expression" dxfId="220" priority="72">
      <formula>MOD(ROW(),2)=0</formula>
    </cfRule>
  </conditionalFormatting>
  <conditionalFormatting sqref="D5:D24">
    <cfRule type="expression" dxfId="219" priority="44">
      <formula>MOD(ROW(),2)=0</formula>
    </cfRule>
  </conditionalFormatting>
  <conditionalFormatting sqref="K129:K137">
    <cfRule type="expression" dxfId="218" priority="42">
      <formula>MOD(ROW(),2)=0</formula>
    </cfRule>
  </conditionalFormatting>
  <conditionalFormatting sqref="B128:F128 H129:H137 H128:K128">
    <cfRule type="expression" dxfId="217" priority="41">
      <formula>MOD(ROW(),2)=0</formula>
    </cfRule>
  </conditionalFormatting>
  <conditionalFormatting sqref="C135:F135">
    <cfRule type="expression" dxfId="216" priority="36">
      <formula>MOD(ROW(),2)=0</formula>
    </cfRule>
  </conditionalFormatting>
  <conditionalFormatting sqref="C132:F133">
    <cfRule type="expression" dxfId="215" priority="35">
      <formula>MOD(ROW(),2)=0</formula>
    </cfRule>
  </conditionalFormatting>
  <conditionalFormatting sqref="I132:I133">
    <cfRule type="expression" dxfId="214" priority="23">
      <formula>MOD(ROW(),2)=0</formula>
    </cfRule>
  </conditionalFormatting>
  <conditionalFormatting sqref="I135">
    <cfRule type="expression" dxfId="213" priority="24">
      <formula>MOD(ROW(),2)=0</formula>
    </cfRule>
  </conditionalFormatting>
  <conditionalFormatting sqref="B129:B137">
    <cfRule type="expression" dxfId="212" priority="39">
      <formula>MOD(ROW(),2)=0</formula>
    </cfRule>
  </conditionalFormatting>
  <conditionalFormatting sqref="C136:E136 C129:F135 C137:F137">
    <cfRule type="expression" dxfId="211" priority="38">
      <formula>MOD(ROW(),2)=0</formula>
    </cfRule>
  </conditionalFormatting>
  <conditionalFormatting sqref="C130:F135 C137:F137 C136:E136">
    <cfRule type="expression" dxfId="210" priority="37">
      <formula>MOD(ROW(),2)=0</formula>
    </cfRule>
  </conditionalFormatting>
  <conditionalFormatting sqref="I136">
    <cfRule type="expression" dxfId="209" priority="22">
      <formula>MOD(ROW(),2)=0</formula>
    </cfRule>
  </conditionalFormatting>
  <conditionalFormatting sqref="F136">
    <cfRule type="expression" dxfId="208" priority="21">
      <formula>MOD(ROW(),2)=0</formula>
    </cfRule>
  </conditionalFormatting>
  <conditionalFormatting sqref="I129:I137">
    <cfRule type="expression" dxfId="207" priority="26">
      <formula>MOD(ROW(),2)=0</formula>
    </cfRule>
  </conditionalFormatting>
  <conditionalFormatting sqref="I130:I137">
    <cfRule type="expression" dxfId="206" priority="25">
      <formula>MOD(ROW(),2)=0</formula>
    </cfRule>
  </conditionalFormatting>
  <conditionalFormatting sqref="G4:G25 G128 G111:G125 G56:G109 G28:G54">
    <cfRule type="expression" dxfId="205" priority="6">
      <formula>MOD(ROW(),2)=0</formula>
    </cfRule>
  </conditionalFormatting>
  <conditionalFormatting sqref="G27">
    <cfRule type="expression" dxfId="204" priority="5">
      <formula>MOD(ROW(),2)=0</formula>
    </cfRule>
  </conditionalFormatting>
  <conditionalFormatting sqref="G129:G137">
    <cfRule type="expression" dxfId="203" priority="4">
      <formula>MOD(ROW(),2)=0</formula>
    </cfRule>
  </conditionalFormatting>
  <conditionalFormatting sqref="G130:G137">
    <cfRule type="expression" dxfId="202" priority="3">
      <formula>MOD(ROW(),2)=0</formula>
    </cfRule>
  </conditionalFormatting>
  <conditionalFormatting sqref="G135">
    <cfRule type="expression" dxfId="201" priority="2">
      <formula>MOD(ROW(),2)=0</formula>
    </cfRule>
  </conditionalFormatting>
  <conditionalFormatting sqref="G132:G133">
    <cfRule type="expression" dxfId="200" priority="1">
      <formula>MOD(ROW(),2)=0</formula>
    </cfRule>
  </conditionalFormatting>
  <pageMargins left="2" right="0.25" top="1" bottom="0.75" header="0.3" footer="0.3"/>
  <pageSetup paperSize="122" scale="31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462F-094A-4FDC-8787-4C7860F01839}">
  <dimension ref="A1:I46"/>
  <sheetViews>
    <sheetView workbookViewId="0"/>
  </sheetViews>
  <sheetFormatPr defaultRowHeight="14.4" x14ac:dyDescent="0.3"/>
  <cols>
    <col min="1" max="1" width="6.109375" style="604" customWidth="1"/>
    <col min="2" max="2" width="28.88671875" bestFit="1" customWidth="1"/>
    <col min="3" max="4" width="7.6640625" style="606" customWidth="1"/>
    <col min="5" max="5" width="6.33203125" style="604" customWidth="1"/>
    <col min="6" max="6" width="29.33203125" customWidth="1"/>
    <col min="7" max="7" width="8.33203125" style="604" customWidth="1"/>
    <col min="8" max="8" width="11.33203125" bestFit="1" customWidth="1"/>
    <col min="9" max="9" width="34.109375" bestFit="1" customWidth="1"/>
    <col min="10" max="13" width="8.33203125" customWidth="1"/>
    <col min="14" max="14" width="7.88671875" customWidth="1"/>
    <col min="15" max="15" width="4.6640625" customWidth="1"/>
    <col min="16" max="16" width="22.5546875" bestFit="1" customWidth="1"/>
    <col min="17" max="17" width="4.6640625" customWidth="1"/>
    <col min="18" max="18" width="27" bestFit="1" customWidth="1"/>
  </cols>
  <sheetData>
    <row r="1" spans="1:9" x14ac:dyDescent="0.3">
      <c r="B1" s="602" t="s">
        <v>1183</v>
      </c>
      <c r="C1" s="608" t="s">
        <v>1184</v>
      </c>
      <c r="D1" s="608"/>
    </row>
    <row r="2" spans="1:9" x14ac:dyDescent="0.3">
      <c r="A2" s="605">
        <v>1</v>
      </c>
      <c r="B2" s="603" t="s">
        <v>669</v>
      </c>
      <c r="C2" s="607">
        <v>0.21</v>
      </c>
      <c r="D2" s="613"/>
      <c r="E2" s="605"/>
      <c r="F2" s="614" t="s">
        <v>669</v>
      </c>
      <c r="G2" s="618" t="s">
        <v>1222</v>
      </c>
      <c r="H2" s="603"/>
      <c r="I2" s="614" t="s">
        <v>21</v>
      </c>
    </row>
    <row r="3" spans="1:9" x14ac:dyDescent="0.3">
      <c r="A3" s="605">
        <v>2</v>
      </c>
      <c r="B3" s="603" t="s">
        <v>1178</v>
      </c>
      <c r="C3" s="607">
        <v>0.16</v>
      </c>
      <c r="D3" s="613" t="s">
        <v>1251</v>
      </c>
      <c r="E3" s="605" t="s">
        <v>1219</v>
      </c>
      <c r="F3" s="611" t="s">
        <v>1202</v>
      </c>
      <c r="G3" s="619" t="s">
        <v>1223</v>
      </c>
      <c r="H3" s="603"/>
      <c r="I3" s="603"/>
    </row>
    <row r="4" spans="1:9" x14ac:dyDescent="0.3">
      <c r="A4" s="605">
        <v>3</v>
      </c>
      <c r="B4" s="603" t="s">
        <v>232</v>
      </c>
      <c r="C4" s="607">
        <v>0.15</v>
      </c>
      <c r="D4" s="613" t="s">
        <v>1251</v>
      </c>
      <c r="E4" s="605" t="s">
        <v>1220</v>
      </c>
      <c r="F4" s="612" t="s">
        <v>1218</v>
      </c>
      <c r="G4" s="620" t="s">
        <v>1224</v>
      </c>
      <c r="H4" s="603" t="s">
        <v>1225</v>
      </c>
      <c r="I4" s="603" t="s">
        <v>1226</v>
      </c>
    </row>
    <row r="5" spans="1:9" x14ac:dyDescent="0.3">
      <c r="A5" s="605">
        <v>4</v>
      </c>
      <c r="B5" s="603" t="s">
        <v>1179</v>
      </c>
      <c r="C5" s="607">
        <v>0.14000000000000001</v>
      </c>
      <c r="D5" s="613" t="s">
        <v>1251</v>
      </c>
      <c r="E5" s="605" t="s">
        <v>1221</v>
      </c>
      <c r="F5" s="611" t="s">
        <v>1194</v>
      </c>
      <c r="G5" s="619" t="s">
        <v>1223</v>
      </c>
      <c r="H5" s="603" t="s">
        <v>1250</v>
      </c>
      <c r="I5" s="603" t="s">
        <v>1252</v>
      </c>
    </row>
    <row r="6" spans="1:9" x14ac:dyDescent="0.3">
      <c r="A6" s="605">
        <v>5</v>
      </c>
      <c r="B6" s="603" t="s">
        <v>1180</v>
      </c>
      <c r="C6" s="607">
        <v>0.14000000000000001</v>
      </c>
      <c r="D6" s="613"/>
      <c r="E6" s="605"/>
      <c r="F6" s="615"/>
      <c r="G6" s="605"/>
      <c r="H6" s="603"/>
      <c r="I6" s="603"/>
    </row>
    <row r="7" spans="1:9" x14ac:dyDescent="0.3">
      <c r="A7" s="605">
        <v>6</v>
      </c>
      <c r="B7" s="603" t="s">
        <v>1181</v>
      </c>
      <c r="C7" s="607">
        <v>0.1</v>
      </c>
      <c r="D7" s="613"/>
      <c r="E7" s="605"/>
      <c r="F7" s="614" t="s">
        <v>1185</v>
      </c>
      <c r="G7" s="605"/>
      <c r="H7" s="603"/>
      <c r="I7" s="603"/>
    </row>
    <row r="8" spans="1:9" x14ac:dyDescent="0.3">
      <c r="A8" s="605">
        <v>7</v>
      </c>
      <c r="B8" s="603" t="s">
        <v>1182</v>
      </c>
      <c r="C8" s="607">
        <v>0.1</v>
      </c>
      <c r="D8" s="613" t="s">
        <v>1251</v>
      </c>
      <c r="E8" s="605" t="s">
        <v>1227</v>
      </c>
      <c r="F8" s="611" t="s">
        <v>1204</v>
      </c>
      <c r="G8" s="605" t="s">
        <v>1249</v>
      </c>
      <c r="H8" s="603" t="s">
        <v>1225</v>
      </c>
      <c r="I8" s="603"/>
    </row>
    <row r="9" spans="1:9" x14ac:dyDescent="0.3">
      <c r="C9" s="608">
        <f>SUM(C2:C8)</f>
        <v>1</v>
      </c>
      <c r="D9" s="608" t="s">
        <v>1251</v>
      </c>
      <c r="E9" s="605" t="s">
        <v>1228</v>
      </c>
      <c r="F9" s="611" t="s">
        <v>1186</v>
      </c>
      <c r="G9" s="605" t="s">
        <v>1248</v>
      </c>
      <c r="H9" s="603" t="s">
        <v>1225</v>
      </c>
      <c r="I9" s="603"/>
    </row>
    <row r="10" spans="1:9" x14ac:dyDescent="0.3">
      <c r="D10" s="606" t="s">
        <v>1251</v>
      </c>
      <c r="E10" s="605" t="s">
        <v>1229</v>
      </c>
      <c r="F10" s="611" t="s">
        <v>1198</v>
      </c>
      <c r="G10" s="619" t="s">
        <v>1223</v>
      </c>
      <c r="H10" s="603" t="s">
        <v>1250</v>
      </c>
      <c r="I10" s="603" t="s">
        <v>1252</v>
      </c>
    </row>
    <row r="11" spans="1:9" x14ac:dyDescent="0.3">
      <c r="E11" s="605"/>
      <c r="F11" s="603"/>
      <c r="G11" s="605"/>
      <c r="H11" s="603"/>
      <c r="I11" s="603"/>
    </row>
    <row r="12" spans="1:9" x14ac:dyDescent="0.3">
      <c r="E12" s="605"/>
      <c r="F12" s="614" t="s">
        <v>232</v>
      </c>
      <c r="G12" s="605"/>
      <c r="H12" s="603"/>
      <c r="I12" s="603"/>
    </row>
    <row r="13" spans="1:9" x14ac:dyDescent="0.3">
      <c r="E13" s="605"/>
      <c r="F13" s="616" t="s">
        <v>1205</v>
      </c>
      <c r="G13" s="605"/>
      <c r="H13" s="603"/>
      <c r="I13" s="603"/>
    </row>
    <row r="14" spans="1:9" x14ac:dyDescent="0.3">
      <c r="B14" s="609" t="s">
        <v>1216</v>
      </c>
      <c r="D14" s="606" t="s">
        <v>362</v>
      </c>
      <c r="E14" s="605" t="s">
        <v>1103</v>
      </c>
      <c r="F14" s="612" t="s">
        <v>1187</v>
      </c>
      <c r="G14" s="619" t="s">
        <v>1223</v>
      </c>
      <c r="H14" s="603"/>
      <c r="I14" s="603"/>
    </row>
    <row r="15" spans="1:9" x14ac:dyDescent="0.3">
      <c r="B15" s="610" t="s">
        <v>1217</v>
      </c>
      <c r="D15" s="606" t="s">
        <v>1251</v>
      </c>
      <c r="E15" s="605" t="s">
        <v>1104</v>
      </c>
      <c r="F15" s="611" t="s">
        <v>1203</v>
      </c>
      <c r="G15" s="619" t="s">
        <v>1223</v>
      </c>
      <c r="H15" s="603"/>
      <c r="I15" s="603"/>
    </row>
    <row r="16" spans="1:9" x14ac:dyDescent="0.3">
      <c r="D16" s="606" t="s">
        <v>1251</v>
      </c>
      <c r="E16" s="605" t="s">
        <v>1105</v>
      </c>
      <c r="F16" s="611" t="s">
        <v>1197</v>
      </c>
      <c r="G16" s="619" t="s">
        <v>1223</v>
      </c>
      <c r="H16" s="603" t="s">
        <v>1250</v>
      </c>
      <c r="I16" s="603" t="s">
        <v>1252</v>
      </c>
    </row>
    <row r="17" spans="4:9" x14ac:dyDescent="0.3">
      <c r="E17" s="605"/>
      <c r="F17" s="603"/>
      <c r="G17" s="605"/>
      <c r="H17" s="603"/>
      <c r="I17" s="603"/>
    </row>
    <row r="18" spans="4:9" x14ac:dyDescent="0.3">
      <c r="E18" s="605"/>
      <c r="F18" s="614" t="s">
        <v>1179</v>
      </c>
      <c r="G18" s="605"/>
      <c r="H18" s="603"/>
      <c r="I18" s="603"/>
    </row>
    <row r="19" spans="4:9" x14ac:dyDescent="0.3">
      <c r="D19" s="606" t="s">
        <v>1251</v>
      </c>
      <c r="E19" s="605" t="s">
        <v>1230</v>
      </c>
      <c r="F19" s="611" t="s">
        <v>1214</v>
      </c>
      <c r="G19" s="619" t="s">
        <v>1223</v>
      </c>
      <c r="H19" s="603"/>
      <c r="I19" s="603"/>
    </row>
    <row r="20" spans="4:9" x14ac:dyDescent="0.3">
      <c r="D20" s="606" t="s">
        <v>1251</v>
      </c>
      <c r="E20" s="605" t="s">
        <v>1231</v>
      </c>
      <c r="F20" s="611" t="s">
        <v>1189</v>
      </c>
      <c r="G20" s="619" t="s">
        <v>1223</v>
      </c>
      <c r="H20" s="603" t="s">
        <v>1250</v>
      </c>
      <c r="I20" s="603" t="s">
        <v>1252</v>
      </c>
    </row>
    <row r="21" spans="4:9" x14ac:dyDescent="0.3">
      <c r="D21" s="606" t="s">
        <v>1251</v>
      </c>
      <c r="E21" s="605" t="s">
        <v>1232</v>
      </c>
      <c r="F21" s="611" t="s">
        <v>1188</v>
      </c>
      <c r="G21" s="619" t="s">
        <v>1223</v>
      </c>
      <c r="H21" s="603"/>
      <c r="I21" s="603"/>
    </row>
    <row r="22" spans="4:9" x14ac:dyDescent="0.3">
      <c r="D22" s="606" t="s">
        <v>1251</v>
      </c>
      <c r="E22" s="605" t="s">
        <v>1233</v>
      </c>
      <c r="F22" s="611" t="s">
        <v>1357</v>
      </c>
      <c r="G22" s="619" t="s">
        <v>1223</v>
      </c>
      <c r="H22" s="603"/>
      <c r="I22" s="603"/>
    </row>
    <row r="23" spans="4:9" x14ac:dyDescent="0.3">
      <c r="D23" s="606" t="s">
        <v>1251</v>
      </c>
      <c r="E23" s="605" t="s">
        <v>1234</v>
      </c>
      <c r="F23" s="611" t="s">
        <v>1196</v>
      </c>
      <c r="G23" s="619" t="s">
        <v>1223</v>
      </c>
      <c r="H23" s="603"/>
      <c r="I23" s="603" t="s">
        <v>1252</v>
      </c>
    </row>
    <row r="24" spans="4:9" x14ac:dyDescent="0.3">
      <c r="E24" s="605"/>
      <c r="F24" s="603"/>
      <c r="G24" s="605"/>
      <c r="H24" s="603"/>
      <c r="I24" s="603"/>
    </row>
    <row r="25" spans="4:9" x14ac:dyDescent="0.3">
      <c r="E25" s="605"/>
      <c r="F25" s="614" t="s">
        <v>1180</v>
      </c>
      <c r="G25" s="605"/>
      <c r="H25" s="603"/>
      <c r="I25" s="603"/>
    </row>
    <row r="26" spans="4:9" x14ac:dyDescent="0.3">
      <c r="D26" s="606" t="s">
        <v>1251</v>
      </c>
      <c r="E26" s="605" t="s">
        <v>1236</v>
      </c>
      <c r="F26" s="612" t="s">
        <v>1215</v>
      </c>
      <c r="G26" s="619" t="s">
        <v>1223</v>
      </c>
      <c r="H26" s="603"/>
      <c r="I26" s="603"/>
    </row>
    <row r="27" spans="4:9" x14ac:dyDescent="0.3">
      <c r="D27" s="606" t="s">
        <v>1251</v>
      </c>
      <c r="E27" s="605" t="s">
        <v>1237</v>
      </c>
      <c r="F27" s="612" t="s">
        <v>1235</v>
      </c>
      <c r="G27" s="619" t="s">
        <v>1223</v>
      </c>
      <c r="H27" s="603"/>
      <c r="I27" s="603"/>
    </row>
    <row r="28" spans="4:9" x14ac:dyDescent="0.3">
      <c r="D28" s="606" t="s">
        <v>1251</v>
      </c>
      <c r="E28" s="605" t="s">
        <v>1238</v>
      </c>
      <c r="F28" s="611" t="s">
        <v>1195</v>
      </c>
      <c r="G28" s="619" t="s">
        <v>1223</v>
      </c>
      <c r="H28" s="603" t="s">
        <v>1250</v>
      </c>
      <c r="I28" s="603" t="s">
        <v>1252</v>
      </c>
    </row>
    <row r="29" spans="4:9" x14ac:dyDescent="0.3">
      <c r="E29" s="605"/>
      <c r="F29" s="603"/>
      <c r="G29" s="605"/>
      <c r="H29" s="603"/>
      <c r="I29" s="603"/>
    </row>
    <row r="30" spans="4:9" x14ac:dyDescent="0.3">
      <c r="E30" s="605"/>
      <c r="F30" s="614" t="s">
        <v>1190</v>
      </c>
      <c r="G30" s="605"/>
      <c r="H30" s="603"/>
      <c r="I30" s="603"/>
    </row>
    <row r="31" spans="4:9" x14ac:dyDescent="0.3">
      <c r="D31" s="606" t="s">
        <v>1251</v>
      </c>
      <c r="E31" s="605" t="s">
        <v>1239</v>
      </c>
      <c r="F31" s="611" t="s">
        <v>1199</v>
      </c>
      <c r="G31" s="619" t="s">
        <v>1223</v>
      </c>
      <c r="H31" s="603"/>
      <c r="I31" s="603"/>
    </row>
    <row r="32" spans="4:9" x14ac:dyDescent="0.3">
      <c r="D32" s="606" t="s">
        <v>1251</v>
      </c>
      <c r="E32" s="605" t="s">
        <v>1240</v>
      </c>
      <c r="F32" s="611" t="s">
        <v>1200</v>
      </c>
      <c r="G32" s="619" t="s">
        <v>1223</v>
      </c>
      <c r="H32" s="603"/>
      <c r="I32" s="603"/>
    </row>
    <row r="33" spans="4:9" x14ac:dyDescent="0.3">
      <c r="D33" s="606" t="s">
        <v>1251</v>
      </c>
      <c r="E33" s="605" t="s">
        <v>1241</v>
      </c>
      <c r="F33" s="611" t="s">
        <v>1191</v>
      </c>
      <c r="G33" s="605"/>
      <c r="H33" s="603"/>
      <c r="I33" s="603"/>
    </row>
    <row r="34" spans="4:9" x14ac:dyDescent="0.3">
      <c r="E34" s="605"/>
      <c r="F34" s="617" t="s">
        <v>1206</v>
      </c>
      <c r="G34" s="605"/>
      <c r="H34" s="603"/>
      <c r="I34" s="603"/>
    </row>
    <row r="35" spans="4:9" x14ac:dyDescent="0.3">
      <c r="E35" s="605"/>
      <c r="F35" s="617" t="s">
        <v>1207</v>
      </c>
      <c r="G35" s="605"/>
      <c r="H35" s="603"/>
      <c r="I35" s="603"/>
    </row>
    <row r="36" spans="4:9" x14ac:dyDescent="0.3">
      <c r="E36" s="605"/>
      <c r="F36" s="617" t="s">
        <v>1208</v>
      </c>
      <c r="G36" s="605"/>
      <c r="H36" s="603"/>
      <c r="I36" s="603"/>
    </row>
    <row r="37" spans="4:9" x14ac:dyDescent="0.3">
      <c r="E37" s="605"/>
      <c r="F37" s="617" t="s">
        <v>1209</v>
      </c>
      <c r="G37" s="605"/>
      <c r="H37" s="603"/>
      <c r="I37" s="603"/>
    </row>
    <row r="38" spans="4:9" x14ac:dyDescent="0.3">
      <c r="E38" s="605"/>
      <c r="F38" s="617" t="s">
        <v>1210</v>
      </c>
      <c r="G38" s="605"/>
      <c r="H38" s="603"/>
      <c r="I38" s="603"/>
    </row>
    <row r="39" spans="4:9" x14ac:dyDescent="0.3">
      <c r="E39" s="605"/>
      <c r="F39" s="617" t="s">
        <v>1211</v>
      </c>
      <c r="G39" s="605"/>
      <c r="H39" s="603"/>
      <c r="I39" s="603"/>
    </row>
    <row r="40" spans="4:9" x14ac:dyDescent="0.3">
      <c r="E40" s="605"/>
      <c r="F40" s="617" t="s">
        <v>1212</v>
      </c>
      <c r="G40" s="605"/>
      <c r="H40" s="603"/>
      <c r="I40" s="603"/>
    </row>
    <row r="41" spans="4:9" x14ac:dyDescent="0.3">
      <c r="E41" s="605"/>
      <c r="F41" s="617" t="s">
        <v>1213</v>
      </c>
      <c r="G41" s="605"/>
      <c r="H41" s="603"/>
      <c r="I41" s="603"/>
    </row>
    <row r="42" spans="4:9" x14ac:dyDescent="0.3">
      <c r="E42" s="605"/>
      <c r="F42" s="603"/>
      <c r="G42" s="605"/>
      <c r="H42" s="603"/>
      <c r="I42" s="603"/>
    </row>
    <row r="43" spans="4:9" x14ac:dyDescent="0.3">
      <c r="E43" s="605"/>
      <c r="F43" s="614" t="s">
        <v>1201</v>
      </c>
      <c r="G43" s="605"/>
      <c r="H43" s="603"/>
      <c r="I43" s="603"/>
    </row>
    <row r="44" spans="4:9" x14ac:dyDescent="0.3">
      <c r="D44" s="606" t="s">
        <v>1251</v>
      </c>
      <c r="E44" s="605" t="s">
        <v>938</v>
      </c>
      <c r="F44" s="612" t="s">
        <v>1192</v>
      </c>
      <c r="G44" s="619" t="s">
        <v>1223</v>
      </c>
      <c r="H44" s="603"/>
      <c r="I44" s="603"/>
    </row>
    <row r="45" spans="4:9" x14ac:dyDescent="0.3">
      <c r="D45" s="606" t="s">
        <v>1251</v>
      </c>
      <c r="E45" s="605" t="s">
        <v>1099</v>
      </c>
      <c r="F45" s="612" t="s">
        <v>842</v>
      </c>
      <c r="G45" s="619" t="s">
        <v>1223</v>
      </c>
      <c r="H45" s="603"/>
      <c r="I45" s="603"/>
    </row>
    <row r="46" spans="4:9" x14ac:dyDescent="0.3">
      <c r="D46" s="606" t="s">
        <v>1251</v>
      </c>
      <c r="E46" s="605" t="s">
        <v>939</v>
      </c>
      <c r="F46" s="612" t="s">
        <v>1193</v>
      </c>
      <c r="G46" s="619" t="s">
        <v>1223</v>
      </c>
      <c r="H46" s="603"/>
      <c r="I46" s="603"/>
    </row>
  </sheetData>
  <pageMargins left="0.7" right="0.7" top="0.75" bottom="0.75" header="0.3" footer="0.3"/>
  <pageSetup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221A0-28C5-49B7-AE2E-F5524B8FEE00}">
  <sheetPr>
    <tabColor theme="9"/>
    <pageSetUpPr fitToPage="1"/>
  </sheetPr>
  <dimension ref="A1:BW111"/>
  <sheetViews>
    <sheetView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P28" sqref="BO28:BP28"/>
    </sheetView>
  </sheetViews>
  <sheetFormatPr defaultColWidth="9.109375" defaultRowHeight="12" x14ac:dyDescent="0.25"/>
  <cols>
    <col min="1" max="1" width="6.88671875" style="639" hidden="1" customWidth="1"/>
    <col min="2" max="2" width="6.109375" style="601" bestFit="1" customWidth="1"/>
    <col min="3" max="3" width="6.5546875" style="601" hidden="1" customWidth="1"/>
    <col min="4" max="4" width="31.33203125" style="575" customWidth="1"/>
    <col min="5" max="6" width="11.109375" style="575" hidden="1" customWidth="1"/>
    <col min="7" max="7" width="6.88671875" style="575" hidden="1" customWidth="1"/>
    <col min="8" max="8" width="6.44140625" style="575" customWidth="1"/>
    <col min="9" max="9" width="15.6640625" style="595" customWidth="1"/>
    <col min="10" max="13" width="3.109375" style="26" hidden="1" customWidth="1"/>
    <col min="14" max="14" width="6.5546875" style="598" hidden="1" customWidth="1"/>
    <col min="15" max="15" width="7.6640625" style="598" hidden="1" customWidth="1"/>
    <col min="16" max="16" width="4.88671875" style="599" hidden="1" customWidth="1"/>
    <col min="17" max="17" width="6.109375" style="601" bestFit="1" customWidth="1"/>
    <col min="18" max="18" width="4.5546875" style="575" hidden="1" customWidth="1"/>
    <col min="19" max="19" width="6.109375" style="575" hidden="1" customWidth="1"/>
    <col min="20" max="20" width="5" style="575" hidden="1" customWidth="1"/>
    <col min="21" max="22" width="5.109375" style="662" hidden="1" customWidth="1"/>
    <col min="23" max="23" width="5.109375" style="575" hidden="1" customWidth="1"/>
    <col min="24" max="25" width="5.33203125" style="575" hidden="1" customWidth="1"/>
    <col min="26" max="27" width="5.88671875" style="575" hidden="1" customWidth="1"/>
    <col min="28" max="28" width="6.109375" style="575" hidden="1" customWidth="1"/>
    <col min="29" max="29" width="5.6640625" style="575" hidden="1" customWidth="1"/>
    <col min="30" max="30" width="5.88671875" style="575" hidden="1" customWidth="1"/>
    <col min="31" max="39" width="5.33203125" style="575" hidden="1" customWidth="1"/>
    <col min="40" max="61" width="5.33203125" style="595" customWidth="1"/>
    <col min="62" max="68" width="4.109375" style="575" customWidth="1"/>
    <col min="69" max="69" width="6.33203125" style="935" customWidth="1"/>
    <col min="70" max="70" width="5.5546875" style="669" customWidth="1"/>
    <col min="71" max="71" width="8.109375" style="947" hidden="1" customWidth="1"/>
    <col min="72" max="72" width="10.109375" style="948" hidden="1" customWidth="1"/>
    <col min="73" max="73" width="12.5546875" style="575" hidden="1" customWidth="1"/>
    <col min="74" max="74" width="6" style="575" customWidth="1"/>
    <col min="75" max="75" width="30.33203125" style="633" bestFit="1" customWidth="1"/>
    <col min="76" max="16384" width="9.109375" style="575"/>
  </cols>
  <sheetData>
    <row r="1" spans="1:75" x14ac:dyDescent="0.25">
      <c r="R1" s="627" t="s">
        <v>1253</v>
      </c>
      <c r="S1" s="626"/>
      <c r="T1" s="626"/>
      <c r="U1" s="660"/>
      <c r="V1" s="660"/>
      <c r="W1" s="626"/>
      <c r="X1" s="626"/>
      <c r="Y1" s="626"/>
      <c r="Z1" s="626"/>
      <c r="AA1" s="626"/>
      <c r="AB1" s="626"/>
      <c r="AC1" s="626"/>
      <c r="AD1" s="626"/>
      <c r="AE1" s="626"/>
      <c r="AF1" s="626"/>
      <c r="AG1" s="626"/>
      <c r="AH1" s="626"/>
      <c r="AI1" s="626"/>
      <c r="AJ1" s="626"/>
      <c r="AK1" s="626"/>
      <c r="AL1" s="626"/>
      <c r="AM1" s="626"/>
      <c r="AN1" s="629" t="s">
        <v>1254</v>
      </c>
      <c r="AO1" s="630"/>
      <c r="AP1" s="630"/>
      <c r="AQ1" s="630"/>
      <c r="AR1" s="630"/>
      <c r="AS1" s="630"/>
      <c r="AT1" s="630"/>
      <c r="AU1" s="630"/>
      <c r="AV1" s="630"/>
      <c r="AW1" s="630"/>
      <c r="AX1" s="630"/>
      <c r="AY1" s="630"/>
      <c r="AZ1" s="630"/>
      <c r="BA1" s="630"/>
      <c r="BB1" s="630"/>
      <c r="BC1" s="630"/>
      <c r="BD1" s="630"/>
      <c r="BE1" s="630"/>
      <c r="BF1" s="630"/>
      <c r="BG1" s="630"/>
      <c r="BH1" s="630"/>
      <c r="BI1" s="630"/>
      <c r="BJ1" s="1012" t="s">
        <v>1271</v>
      </c>
      <c r="BK1" s="1013"/>
      <c r="BL1" s="1013"/>
      <c r="BM1" s="1013"/>
      <c r="BN1" s="1013"/>
      <c r="BO1" s="1013"/>
      <c r="BP1" s="1014"/>
      <c r="BQ1" s="932"/>
      <c r="BR1" s="665"/>
      <c r="BS1" s="936"/>
      <c r="BT1" s="937"/>
      <c r="BU1" s="601"/>
      <c r="BV1" s="601"/>
      <c r="BW1" s="632"/>
    </row>
    <row r="2" spans="1:75" x14ac:dyDescent="0.25">
      <c r="R2" s="627" t="s">
        <v>1163</v>
      </c>
      <c r="S2" s="626"/>
      <c r="T2" s="626"/>
      <c r="U2" s="674" t="s">
        <v>1242</v>
      </c>
      <c r="V2" s="660"/>
      <c r="W2" s="626"/>
      <c r="X2" s="627" t="s">
        <v>1243</v>
      </c>
      <c r="Y2" s="626"/>
      <c r="Z2" s="627" t="s">
        <v>1244</v>
      </c>
      <c r="AA2" s="626"/>
      <c r="AB2" s="626"/>
      <c r="AC2" s="626"/>
      <c r="AD2" s="626"/>
      <c r="AE2" s="627" t="s">
        <v>1245</v>
      </c>
      <c r="AF2" s="626"/>
      <c r="AG2" s="626"/>
      <c r="AH2" s="627" t="s">
        <v>1246</v>
      </c>
      <c r="AI2" s="626"/>
      <c r="AJ2" s="626"/>
      <c r="AK2" s="627" t="s">
        <v>1247</v>
      </c>
      <c r="AL2" s="626"/>
      <c r="AM2" s="626"/>
      <c r="AN2" s="629" t="s">
        <v>1163</v>
      </c>
      <c r="AO2" s="630"/>
      <c r="AP2" s="630"/>
      <c r="AQ2" s="629" t="s">
        <v>1242</v>
      </c>
      <c r="AR2" s="630"/>
      <c r="AS2" s="630"/>
      <c r="AT2" s="629" t="s">
        <v>1243</v>
      </c>
      <c r="AU2" s="630"/>
      <c r="AV2" s="629" t="s">
        <v>1244</v>
      </c>
      <c r="AW2" s="630"/>
      <c r="AX2" s="630"/>
      <c r="AY2" s="630"/>
      <c r="AZ2" s="630"/>
      <c r="BA2" s="629" t="s">
        <v>1245</v>
      </c>
      <c r="BB2" s="630"/>
      <c r="BC2" s="630"/>
      <c r="BD2" s="629" t="s">
        <v>1246</v>
      </c>
      <c r="BE2" s="630"/>
      <c r="BF2" s="630"/>
      <c r="BG2" s="629" t="s">
        <v>1247</v>
      </c>
      <c r="BH2" s="630"/>
      <c r="BI2" s="630"/>
      <c r="BJ2" s="1015">
        <v>0.21</v>
      </c>
      <c r="BK2" s="1016">
        <v>0.16</v>
      </c>
      <c r="BL2" s="1016">
        <v>0.15</v>
      </c>
      <c r="BM2" s="1016">
        <v>0.14000000000000001</v>
      </c>
      <c r="BN2" s="1016">
        <v>0.14000000000000001</v>
      </c>
      <c r="BO2" s="1016">
        <v>0.1</v>
      </c>
      <c r="BP2" s="1017">
        <v>0.1</v>
      </c>
      <c r="BQ2" s="932"/>
      <c r="BR2" s="665"/>
      <c r="BS2" s="936"/>
      <c r="BT2" s="937"/>
      <c r="BU2" s="601"/>
      <c r="BV2" s="601"/>
      <c r="BW2" s="632"/>
    </row>
    <row r="3" spans="1:75" ht="30" thickBot="1" x14ac:dyDescent="0.3">
      <c r="A3" s="643" t="s">
        <v>1263</v>
      </c>
      <c r="B3" s="623" t="s">
        <v>834</v>
      </c>
      <c r="C3" s="623" t="s">
        <v>1161</v>
      </c>
      <c r="D3" s="624" t="s">
        <v>261</v>
      </c>
      <c r="E3" s="625" t="s">
        <v>729</v>
      </c>
      <c r="F3" s="625" t="s">
        <v>730</v>
      </c>
      <c r="G3" s="625" t="s">
        <v>1162</v>
      </c>
      <c r="H3" s="625" t="s">
        <v>12</v>
      </c>
      <c r="I3" s="625" t="s">
        <v>14</v>
      </c>
      <c r="J3" s="904" t="s">
        <v>788</v>
      </c>
      <c r="K3" s="904" t="s">
        <v>789</v>
      </c>
      <c r="L3" s="904" t="s">
        <v>790</v>
      </c>
      <c r="M3" s="904" t="s">
        <v>48</v>
      </c>
      <c r="N3" s="597" t="s">
        <v>775</v>
      </c>
      <c r="O3" s="597" t="s">
        <v>776</v>
      </c>
      <c r="P3" s="597" t="s">
        <v>965</v>
      </c>
      <c r="Q3" s="596" t="s">
        <v>834</v>
      </c>
      <c r="R3" s="628" t="s">
        <v>1219</v>
      </c>
      <c r="S3" s="628" t="s">
        <v>1220</v>
      </c>
      <c r="T3" s="628" t="s">
        <v>1221</v>
      </c>
      <c r="U3" s="661" t="s">
        <v>1227</v>
      </c>
      <c r="V3" s="661" t="s">
        <v>1228</v>
      </c>
      <c r="W3" s="628" t="s">
        <v>1229</v>
      </c>
      <c r="X3" s="628" t="s">
        <v>1104</v>
      </c>
      <c r="Y3" s="628" t="s">
        <v>1105</v>
      </c>
      <c r="Z3" s="628" t="s">
        <v>1230</v>
      </c>
      <c r="AA3" s="628" t="s">
        <v>1231</v>
      </c>
      <c r="AB3" s="628" t="s">
        <v>1232</v>
      </c>
      <c r="AC3" s="628" t="s">
        <v>1233</v>
      </c>
      <c r="AD3" s="628" t="s">
        <v>1234</v>
      </c>
      <c r="AE3" s="628" t="s">
        <v>1236</v>
      </c>
      <c r="AF3" s="628" t="s">
        <v>1237</v>
      </c>
      <c r="AG3" s="628" t="s">
        <v>1238</v>
      </c>
      <c r="AH3" s="628" t="s">
        <v>1239</v>
      </c>
      <c r="AI3" s="628" t="s">
        <v>1240</v>
      </c>
      <c r="AJ3" s="628" t="s">
        <v>1241</v>
      </c>
      <c r="AK3" s="628" t="s">
        <v>938</v>
      </c>
      <c r="AL3" s="628" t="s">
        <v>1099</v>
      </c>
      <c r="AM3" s="628" t="s">
        <v>939</v>
      </c>
      <c r="AN3" s="631" t="s">
        <v>1219</v>
      </c>
      <c r="AO3" s="631" t="s">
        <v>1220</v>
      </c>
      <c r="AP3" s="631" t="s">
        <v>1221</v>
      </c>
      <c r="AQ3" s="631" t="s">
        <v>1227</v>
      </c>
      <c r="AR3" s="631" t="s">
        <v>1228</v>
      </c>
      <c r="AS3" s="631" t="s">
        <v>1229</v>
      </c>
      <c r="AT3" s="631" t="s">
        <v>1104</v>
      </c>
      <c r="AU3" s="631" t="s">
        <v>1105</v>
      </c>
      <c r="AV3" s="631" t="s">
        <v>1230</v>
      </c>
      <c r="AW3" s="631" t="s">
        <v>1231</v>
      </c>
      <c r="AX3" s="631" t="s">
        <v>1232</v>
      </c>
      <c r="AY3" s="631" t="s">
        <v>1233</v>
      </c>
      <c r="AZ3" s="631" t="s">
        <v>1234</v>
      </c>
      <c r="BA3" s="631" t="s">
        <v>1236</v>
      </c>
      <c r="BB3" s="631" t="s">
        <v>1237</v>
      </c>
      <c r="BC3" s="631" t="s">
        <v>1238</v>
      </c>
      <c r="BD3" s="631" t="s">
        <v>1239</v>
      </c>
      <c r="BE3" s="631" t="s">
        <v>1240</v>
      </c>
      <c r="BF3" s="631" t="s">
        <v>1241</v>
      </c>
      <c r="BG3" s="631" t="s">
        <v>938</v>
      </c>
      <c r="BH3" s="631" t="s">
        <v>1099</v>
      </c>
      <c r="BI3" s="1007" t="s">
        <v>939</v>
      </c>
      <c r="BJ3" s="1018" t="s">
        <v>1264</v>
      </c>
      <c r="BK3" s="645" t="s">
        <v>1265</v>
      </c>
      <c r="BL3" s="645" t="s">
        <v>1266</v>
      </c>
      <c r="BM3" s="645" t="s">
        <v>1267</v>
      </c>
      <c r="BN3" s="645" t="s">
        <v>1268</v>
      </c>
      <c r="BO3" s="645" t="s">
        <v>1269</v>
      </c>
      <c r="BP3" s="1019" t="s">
        <v>1270</v>
      </c>
      <c r="BQ3" s="933" t="s">
        <v>1255</v>
      </c>
      <c r="BR3" s="666" t="s">
        <v>1256</v>
      </c>
      <c r="BS3" s="938" t="s">
        <v>846</v>
      </c>
      <c r="BT3" s="939" t="s">
        <v>1272</v>
      </c>
      <c r="BU3" s="646" t="s">
        <v>1257</v>
      </c>
      <c r="BV3" s="646" t="s">
        <v>1396</v>
      </c>
      <c r="BW3" s="647" t="s">
        <v>21</v>
      </c>
    </row>
    <row r="4" spans="1:75" x14ac:dyDescent="0.25">
      <c r="A4" s="1084">
        <v>54</v>
      </c>
      <c r="B4" s="922" t="s">
        <v>986</v>
      </c>
      <c r="C4" s="573" t="s">
        <v>37</v>
      </c>
      <c r="D4" s="591" t="s">
        <v>1494</v>
      </c>
      <c r="E4" s="576" t="s">
        <v>1495</v>
      </c>
      <c r="F4" s="576" t="s">
        <v>1496</v>
      </c>
      <c r="G4" s="923">
        <v>9610.5019439999996</v>
      </c>
      <c r="H4" s="924">
        <f t="shared" ref="H4:H11" si="0">G4/5280</f>
        <v>1.8201708227272726</v>
      </c>
      <c r="I4" s="591" t="s">
        <v>672</v>
      </c>
      <c r="J4" s="592" t="s">
        <v>824</v>
      </c>
      <c r="K4" s="592" t="s">
        <v>824</v>
      </c>
      <c r="L4" s="592" t="s">
        <v>824</v>
      </c>
      <c r="M4" s="592" t="s">
        <v>824</v>
      </c>
      <c r="N4" s="925">
        <v>5</v>
      </c>
      <c r="O4" s="925">
        <v>5</v>
      </c>
      <c r="P4" s="926" t="s">
        <v>670</v>
      </c>
      <c r="Q4" s="573" t="str">
        <f t="shared" ref="Q4:Q35" si="1">B4</f>
        <v>M73b</v>
      </c>
      <c r="R4" s="655">
        <v>10</v>
      </c>
      <c r="S4" s="655">
        <v>2765</v>
      </c>
      <c r="T4" s="655">
        <v>10</v>
      </c>
      <c r="U4" s="650">
        <v>2.36</v>
      </c>
      <c r="V4" s="650">
        <v>1.45</v>
      </c>
      <c r="W4" s="659">
        <v>10</v>
      </c>
      <c r="X4" s="655">
        <v>10</v>
      </c>
      <c r="Y4" s="655">
        <v>10</v>
      </c>
      <c r="Z4" s="655">
        <v>10</v>
      </c>
      <c r="AA4" s="654">
        <v>0</v>
      </c>
      <c r="AB4" s="654">
        <v>0</v>
      </c>
      <c r="AC4" s="655">
        <v>10</v>
      </c>
      <c r="AD4" s="655">
        <v>10</v>
      </c>
      <c r="AE4" s="655">
        <v>10</v>
      </c>
      <c r="AF4" s="659">
        <v>10</v>
      </c>
      <c r="AG4" s="655">
        <v>10</v>
      </c>
      <c r="AH4" s="654">
        <v>0</v>
      </c>
      <c r="AI4" s="654">
        <v>0</v>
      </c>
      <c r="AJ4" s="655">
        <v>6</v>
      </c>
      <c r="AK4" s="655">
        <v>10</v>
      </c>
      <c r="AL4" s="655">
        <v>5</v>
      </c>
      <c r="AM4" s="654">
        <v>0</v>
      </c>
      <c r="AN4" s="663">
        <f t="shared" ref="AN4:AN35" si="2">ROUND(IF((10*(R4-MIN(R$4:R$94))/(MAX(R$4:R$94)-MIN(R$4:R$94)))&lt;0.5,1,(10*(R4-MIN(R$4:R$94))/(MAX(R$4:R$94)-MIN(R$4:R$94)))),0)</f>
        <v>10</v>
      </c>
      <c r="AO4" s="663">
        <f t="shared" ref="AO4:AO35" si="3">ROUND(IF((10*(S4-MIN(S$4:S$94))/(MAX(S$4:S$94)-MIN(S$4:S$94)))&lt;0.5,1,(10*(S4-MIN(S$4:S$94))/(MAX(S$4:S$94)-MIN(S$4:S$94)))),0)</f>
        <v>4</v>
      </c>
      <c r="AP4" s="663">
        <f t="shared" ref="AP4:AP35" si="4">ROUND(IF((10*(T4-MIN(T$4:T$94))/(MAX(T$4:T$94)-MIN(T$4:T$94)))&lt;0.5,1,(10*(T4-MIN(T$4:T$94))/(MAX(T$4:T$94)-MIN(T$4:T$94)))),0)</f>
        <v>10</v>
      </c>
      <c r="AQ4" s="663">
        <f t="shared" ref="AQ4:AQ35" si="5">ROUND(IF((10*(U4-MIN(U$4:U$94))/(MAX(U$4:U$94)-MIN(U$4:U$94)))&lt;0.5,1,(10*(U4-MIN(U$4:U$94))/(MAX(U$4:U$94)-MIN(U$4:U$94)))),0)</f>
        <v>5</v>
      </c>
      <c r="AR4" s="663">
        <f t="shared" ref="AR4:AR35" si="6">ROUND(IF((10*(V4-MIN(V$4:V$94))/(MAX(V$4:V$94)-MIN(V$4:V$94)))&lt;0.5,1,(10*(V4-MIN(V$4:V$94))/(MAX(V$4:V$94)-MIN(V$4:V$94)))),0)</f>
        <v>9</v>
      </c>
      <c r="AS4" s="663">
        <f t="shared" ref="AS4:AS35" si="7">ROUND(IF((10*(W4-MIN(W$4:W$94))/(MAX(W$4:W$94)-MIN(W$4:W$94)))&lt;0.5,1,(10*(W4-MIN(W$4:W$94))/(MAX(W$4:W$94)-MIN(W$4:W$94)))),0)</f>
        <v>10</v>
      </c>
      <c r="AT4" s="663">
        <f t="shared" ref="AT4:AT35" si="8">ROUND(IF((10*(X4-MIN(X$4:X$94))/(MAX(X$4:X$94)-MIN(X$4:X$94)))&lt;0.5,1,(10*(X4-MIN(X$4:X$94))/(MAX(X$4:X$94)-MIN(X$4:X$94)))),0)</f>
        <v>10</v>
      </c>
      <c r="AU4" s="663">
        <f t="shared" ref="AU4:AU35" si="9">ROUND(IF((10*(Y4-MIN(Y$4:Y$94))/(MAX(Y$4:Y$94)-MIN(Y$4:Y$94)))&lt;0.5,1,(10*(Y4-MIN(Y$4:Y$94))/(MAX(Y$4:Y$94)-MIN(Y$4:Y$94)))),0)</f>
        <v>10</v>
      </c>
      <c r="AV4" s="663">
        <f t="shared" ref="AV4:AV35" si="10">ROUND(IF((10*(Z4-MIN(Z$4:Z$94))/(MAX(Z$4:Z$94)-MIN(Z$4:Z$94)))&lt;0.5,1,(10*(Z4-MIN(Z$4:Z$94))/(MAX(Z$4:Z$94)-MIN(Z$4:Z$94)))),0)</f>
        <v>10</v>
      </c>
      <c r="AW4" s="663">
        <f t="shared" ref="AW4:AW35" si="11">ROUND(IF((10*(AA4-MIN(AA$4:AA$94))/(MAX(AA$4:AA$94)-MIN(AA$4:AA$94)))&lt;0.5,1,(10*(AA4-MIN(AA$4:AA$94))/(MAX(AA$4:AA$94)-MIN(AA$4:AA$94)))),0)</f>
        <v>1</v>
      </c>
      <c r="AX4" s="663">
        <f t="shared" ref="AX4:AX35" si="12">ROUND(IF((10*(AB4-MIN(AB$4:AB$94))/(MAX(AB$4:AB$94)-MIN(AB$4:AB$94)))&lt;0.5,1,(10*(AB4-MIN(AB$4:AB$94))/(MAX(AB$4:AB$94)-MIN(AB$4:AB$94)))),0)</f>
        <v>1</v>
      </c>
      <c r="AY4" s="663">
        <f t="shared" ref="AY4:AY35" si="13">ROUND(IF((10*(AC4-MIN(AC$4:AC$94))/(MAX(AC$4:AC$94)-MIN(AC$4:AC$94)))&lt;0.5,1,(10*(AC4-MIN(AC$4:AC$94))/(MAX(AC$4:AC$94)-MIN(AC$4:AC$94)))),0)</f>
        <v>10</v>
      </c>
      <c r="AZ4" s="663">
        <f t="shared" ref="AZ4:AZ35" si="14">ROUND(IF((10*(AD4-MIN(AD$4:AD$94))/(MAX(AD$4:AD$94)-MIN(AD$4:AD$94)))&lt;0.5,1,(10*(AD4-MIN(AD$4:AD$94))/(MAX(AD$4:AD$94)-MIN(AD$4:AD$94)))),0)</f>
        <v>10</v>
      </c>
      <c r="BA4" s="663">
        <f t="shared" ref="BA4:BA35" si="15">ROUND(IF((10*(AE4-MIN(AE$4:AE$94))/(MAX(AE$4:AE$94)-MIN(AE$4:AE$94)))&lt;0.5,1,(10*(AE4-MIN(AE$4:AE$94))/(MAX(AE$4:AE$94)-MIN(AE$4:AE$94)))),0)</f>
        <v>10</v>
      </c>
      <c r="BB4" s="663">
        <f t="shared" ref="BB4:BB35" si="16">ROUND(IF((10*(AF4-MIN(AF$4:AF$94))/(MAX(AF$4:AF$94)-MIN(AF$4:AF$94)))&lt;0.5,1,(10*(AF4-MIN(AF$4:AF$94))/(MAX(AF$4:AF$94)-MIN(AF$4:AF$94)))),0)</f>
        <v>10</v>
      </c>
      <c r="BC4" s="663">
        <f t="shared" ref="BC4:BC35" si="17">ROUND(IF((10*(AG4-MIN(AG$4:AG$94))/(MAX(AG$4:AG$94)-MIN(AG$4:AG$94)))&lt;0.5,1,(10*(AG4-MIN(AG$4:AG$94))/(MAX(AG$4:AG$94)-MIN(AG$4:AG$94)))),0)</f>
        <v>10</v>
      </c>
      <c r="BD4" s="663">
        <f t="shared" ref="BD4:BD35" si="18">ROUND(IF((10*(AH4-MIN(AH$4:AH$94))/(MAX(AH$4:AH$94)-MIN(AH$4:AH$94)))&lt;0.5,1,(10*(AH4-MIN(AH$4:AH$94))/(MAX(AH$4:AH$94)-MIN(AH$4:AH$94)))),0)</f>
        <v>1</v>
      </c>
      <c r="BE4" s="663">
        <f t="shared" ref="BE4:BE35" si="19">ROUND(IF((10*(AI4-MIN(AI$4:AI$94))/(MAX(AI$4:AI$94)-MIN(AI$4:AI$94)))&lt;0.5,1,(10*(AI4-MIN(AI$4:AI$94))/(MAX(AI$4:AI$94)-MIN(AI$4:AI$94)))),0)</f>
        <v>1</v>
      </c>
      <c r="BF4" s="663">
        <f t="shared" ref="BF4:BF35" si="20">ROUND(IF((10*(AJ4-MIN(AJ$4:AJ$94))/(MAX(AJ$4:AJ$94)-MIN(AJ$4:AJ$94)))&lt;0.5,1,(10*(AJ4-MIN(AJ$4:AJ$94))/(MAX(AJ$4:AJ$94)-MIN(AJ$4:AJ$94)))),0)</f>
        <v>8</v>
      </c>
      <c r="BG4" s="663">
        <f t="shared" ref="BG4:BG35" si="21">ROUND(IF((10*(AK4-MIN(AK$4:AK$94))/(MAX(AK$4:AK$94)-MIN(AK$4:AK$94)))&lt;0.5,1,(10*(AK4-MIN(AK$4:AK$94))/(MAX(AK$4:AK$94)-MIN(AK$4:AK$94)))),0)</f>
        <v>10</v>
      </c>
      <c r="BH4" s="663">
        <f t="shared" ref="BH4:BH35" si="22">ROUND(IF((10*(AL4-MIN(AL$4:AL$94))/(MAX(AL$4:AL$94)-MIN(AL$4:AL$94)))&lt;0.5,1,(10*(AL4-MIN(AL$4:AL$94))/(MAX(AL$4:AL$94)-MIN(AL$4:AL$94)))),0)</f>
        <v>5</v>
      </c>
      <c r="BI4" s="1008">
        <f t="shared" ref="BI4:BI35" si="23">ROUND(IF((10*(AM4-MIN(AM$4:AM$94))/(MAX(AM$4:AM$94)-MIN(AM$4:AM$94)))&lt;0.5,1,(10*(AM4-MIN(AM$4:AM$94))/(MAX(AM$4:AM$94)-MIN(AM$4:AM$94)))),0)</f>
        <v>1</v>
      </c>
      <c r="BJ4" s="1020">
        <f t="shared" ref="BJ4:BJ35" si="24">AVERAGE($AN4:$AP4)*BJ$2*10</f>
        <v>16.8</v>
      </c>
      <c r="BK4" s="931">
        <f t="shared" ref="BK4:BK35" si="25">AVERAGE($AQ4:$AS4)*BK$2*10</f>
        <v>12.8</v>
      </c>
      <c r="BL4" s="931">
        <f t="shared" ref="BL4:BL35" si="26">AVERAGE($AT4:$AU4)*BL$2*10</f>
        <v>15</v>
      </c>
      <c r="BM4" s="931">
        <f t="shared" ref="BM4:BM35" si="27">AVERAGE($AV4:$AZ4)*BM$2*10</f>
        <v>8.9600000000000009</v>
      </c>
      <c r="BN4" s="931">
        <f t="shared" ref="BN4:BN35" si="28">AVERAGE($BA4:$BC4)*BN$2*10</f>
        <v>14.000000000000002</v>
      </c>
      <c r="BO4" s="931">
        <f t="shared" ref="BO4:BO35" si="29">AVERAGE($BD4:$BF4)*BO$2*10</f>
        <v>3.3333333333333339</v>
      </c>
      <c r="BP4" s="1021">
        <f t="shared" ref="BP4:BP35" si="30">AVERAGE($BG4:$BI4)*BP$2*10</f>
        <v>5.333333333333333</v>
      </c>
      <c r="BQ4" s="1010">
        <f t="shared" ref="BQ4:BQ35" si="31">SUM(BJ4:BP4)</f>
        <v>76.226666666666659</v>
      </c>
      <c r="BR4" s="667">
        <f t="shared" ref="BR4:BR35" si="32">RANK(BQ4,BQ$4:BQ$94,0)</f>
        <v>1</v>
      </c>
      <c r="BS4" s="940" t="s">
        <v>376</v>
      </c>
      <c r="BT4" s="941" t="s">
        <v>376</v>
      </c>
      <c r="BU4" s="927" t="s">
        <v>1258</v>
      </c>
      <c r="BV4" s="1045" t="str">
        <f>VLOOKUP($B4,Tiers!$A:$K,11,FALSE)</f>
        <v>Tier 1</v>
      </c>
      <c r="BW4" s="670"/>
    </row>
    <row r="5" spans="1:75" x14ac:dyDescent="0.25">
      <c r="A5" s="640">
        <v>31</v>
      </c>
      <c r="B5" s="600" t="s">
        <v>1342</v>
      </c>
      <c r="C5" s="574" t="s">
        <v>37</v>
      </c>
      <c r="D5" s="584" t="s">
        <v>1666</v>
      </c>
      <c r="E5" s="576" t="s">
        <v>1480</v>
      </c>
      <c r="F5" s="576" t="s">
        <v>1343</v>
      </c>
      <c r="G5" s="578">
        <v>7057.2494900000002</v>
      </c>
      <c r="H5" s="579">
        <f t="shared" si="0"/>
        <v>1.3366002821969698</v>
      </c>
      <c r="I5" s="576" t="s">
        <v>672</v>
      </c>
      <c r="J5" s="580"/>
      <c r="K5" s="580"/>
      <c r="L5" s="580"/>
      <c r="M5" s="580"/>
      <c r="N5" s="581"/>
      <c r="O5" s="581"/>
      <c r="P5" s="583" t="s">
        <v>670</v>
      </c>
      <c r="Q5" s="573" t="str">
        <f t="shared" si="1"/>
        <v>M49c</v>
      </c>
      <c r="R5" s="656">
        <v>0</v>
      </c>
      <c r="S5" s="890">
        <v>7700</v>
      </c>
      <c r="T5" s="891">
        <v>10</v>
      </c>
      <c r="U5" s="651">
        <v>0</v>
      </c>
      <c r="V5" s="892">
        <v>1.1599999999999999</v>
      </c>
      <c r="W5" s="890">
        <v>10</v>
      </c>
      <c r="X5" s="651">
        <v>0</v>
      </c>
      <c r="Y5" s="890">
        <v>10</v>
      </c>
      <c r="Z5" s="890">
        <v>10</v>
      </c>
      <c r="AA5" s="890">
        <v>10</v>
      </c>
      <c r="AB5" s="649">
        <v>0</v>
      </c>
      <c r="AC5" s="890">
        <v>10</v>
      </c>
      <c r="AD5" s="891">
        <v>10</v>
      </c>
      <c r="AE5" s="891">
        <v>10</v>
      </c>
      <c r="AF5" s="891">
        <v>10</v>
      </c>
      <c r="AG5" s="891">
        <v>10</v>
      </c>
      <c r="AH5" s="891">
        <v>10</v>
      </c>
      <c r="AI5" s="890">
        <v>10</v>
      </c>
      <c r="AJ5" s="890">
        <v>4</v>
      </c>
      <c r="AK5" s="891">
        <v>10</v>
      </c>
      <c r="AL5" s="891">
        <v>5</v>
      </c>
      <c r="AM5" s="891">
        <v>10</v>
      </c>
      <c r="AN5" s="664">
        <f t="shared" si="2"/>
        <v>1</v>
      </c>
      <c r="AO5" s="664">
        <f t="shared" si="3"/>
        <v>10</v>
      </c>
      <c r="AP5" s="664">
        <f t="shared" si="4"/>
        <v>10</v>
      </c>
      <c r="AQ5" s="664">
        <f t="shared" si="5"/>
        <v>1</v>
      </c>
      <c r="AR5" s="664">
        <f t="shared" si="6"/>
        <v>7</v>
      </c>
      <c r="AS5" s="664">
        <f t="shared" si="7"/>
        <v>10</v>
      </c>
      <c r="AT5" s="664">
        <f t="shared" si="8"/>
        <v>1</v>
      </c>
      <c r="AU5" s="664">
        <f t="shared" si="9"/>
        <v>10</v>
      </c>
      <c r="AV5" s="664">
        <f t="shared" si="10"/>
        <v>10</v>
      </c>
      <c r="AW5" s="664">
        <f t="shared" si="11"/>
        <v>10</v>
      </c>
      <c r="AX5" s="664">
        <f t="shared" si="12"/>
        <v>1</v>
      </c>
      <c r="AY5" s="664">
        <f t="shared" si="13"/>
        <v>10</v>
      </c>
      <c r="AZ5" s="664">
        <f t="shared" si="14"/>
        <v>10</v>
      </c>
      <c r="BA5" s="664">
        <f t="shared" si="15"/>
        <v>10</v>
      </c>
      <c r="BB5" s="664">
        <f t="shared" si="16"/>
        <v>10</v>
      </c>
      <c r="BC5" s="664">
        <f t="shared" si="17"/>
        <v>10</v>
      </c>
      <c r="BD5" s="664">
        <f t="shared" si="18"/>
        <v>10</v>
      </c>
      <c r="BE5" s="664">
        <f t="shared" si="19"/>
        <v>10</v>
      </c>
      <c r="BF5" s="664">
        <f t="shared" si="20"/>
        <v>3</v>
      </c>
      <c r="BG5" s="664">
        <f t="shared" si="21"/>
        <v>10</v>
      </c>
      <c r="BH5" s="664">
        <f t="shared" si="22"/>
        <v>5</v>
      </c>
      <c r="BI5" s="1009">
        <f t="shared" si="23"/>
        <v>10</v>
      </c>
      <c r="BJ5" s="1020">
        <f t="shared" si="24"/>
        <v>14.7</v>
      </c>
      <c r="BK5" s="931">
        <f t="shared" si="25"/>
        <v>9.6</v>
      </c>
      <c r="BL5" s="931">
        <f t="shared" si="26"/>
        <v>8.25</v>
      </c>
      <c r="BM5" s="931">
        <f t="shared" si="27"/>
        <v>11.479999999999999</v>
      </c>
      <c r="BN5" s="931">
        <f t="shared" si="28"/>
        <v>14.000000000000002</v>
      </c>
      <c r="BO5" s="931">
        <f t="shared" si="29"/>
        <v>7.666666666666667</v>
      </c>
      <c r="BP5" s="1021">
        <f t="shared" si="30"/>
        <v>8.3333333333333357</v>
      </c>
      <c r="BQ5" s="1011">
        <f t="shared" si="31"/>
        <v>74.03</v>
      </c>
      <c r="BR5" s="668">
        <f t="shared" si="32"/>
        <v>2</v>
      </c>
      <c r="BS5" s="942">
        <v>9</v>
      </c>
      <c r="BT5" s="943" t="s">
        <v>275</v>
      </c>
      <c r="BU5" s="635" t="s">
        <v>1258</v>
      </c>
      <c r="BV5" s="1045" t="str">
        <f>VLOOKUP($B5,Tiers!$A:$K,11,FALSE)</f>
        <v>Tier 2</v>
      </c>
      <c r="BW5" s="622"/>
    </row>
    <row r="6" spans="1:75" ht="13.8" x14ac:dyDescent="0.3">
      <c r="A6" s="642">
        <v>103</v>
      </c>
      <c r="B6" s="600" t="s">
        <v>939</v>
      </c>
      <c r="C6" s="574" t="s">
        <v>360</v>
      </c>
      <c r="D6" s="32" t="s">
        <v>1276</v>
      </c>
      <c r="E6" s="576" t="s">
        <v>1280</v>
      </c>
      <c r="F6" s="576" t="s">
        <v>376</v>
      </c>
      <c r="G6" s="671">
        <v>0</v>
      </c>
      <c r="H6" s="672">
        <f t="shared" si="0"/>
        <v>0</v>
      </c>
      <c r="I6" s="576" t="s">
        <v>573</v>
      </c>
      <c r="J6" s="580" t="s">
        <v>824</v>
      </c>
      <c r="K6" s="580" t="s">
        <v>824</v>
      </c>
      <c r="L6" s="580" t="s">
        <v>824</v>
      </c>
      <c r="M6" s="580"/>
      <c r="N6" s="581" t="s">
        <v>262</v>
      </c>
      <c r="O6" s="581" t="s">
        <v>262</v>
      </c>
      <c r="P6" s="583" t="s">
        <v>670</v>
      </c>
      <c r="Q6" s="573" t="str">
        <f t="shared" si="1"/>
        <v>C3</v>
      </c>
      <c r="R6" s="658">
        <v>10</v>
      </c>
      <c r="S6" s="656">
        <v>0</v>
      </c>
      <c r="T6" s="659">
        <v>10</v>
      </c>
      <c r="U6" s="653">
        <v>1.74</v>
      </c>
      <c r="V6" s="653">
        <v>1.04</v>
      </c>
      <c r="W6" s="658">
        <v>10</v>
      </c>
      <c r="X6" s="658">
        <v>10</v>
      </c>
      <c r="Y6" s="658">
        <v>10</v>
      </c>
      <c r="Z6" s="658">
        <v>10</v>
      </c>
      <c r="AA6" s="658">
        <v>5</v>
      </c>
      <c r="AB6" s="659">
        <v>5</v>
      </c>
      <c r="AC6" s="658">
        <v>5</v>
      </c>
      <c r="AD6" s="659">
        <v>10</v>
      </c>
      <c r="AE6" s="659">
        <v>10</v>
      </c>
      <c r="AF6" s="654">
        <v>0</v>
      </c>
      <c r="AG6" s="659">
        <v>10</v>
      </c>
      <c r="AH6" s="654">
        <v>0</v>
      </c>
      <c r="AI6" s="658">
        <v>5</v>
      </c>
      <c r="AJ6" s="658">
        <v>7</v>
      </c>
      <c r="AK6" s="654">
        <v>0</v>
      </c>
      <c r="AL6" s="654">
        <v>0</v>
      </c>
      <c r="AM6" s="659">
        <v>10</v>
      </c>
      <c r="AN6" s="664">
        <f t="shared" si="2"/>
        <v>10</v>
      </c>
      <c r="AO6" s="664">
        <f t="shared" si="3"/>
        <v>1</v>
      </c>
      <c r="AP6" s="664">
        <f t="shared" si="4"/>
        <v>10</v>
      </c>
      <c r="AQ6" s="664">
        <f t="shared" si="5"/>
        <v>4</v>
      </c>
      <c r="AR6" s="664">
        <f t="shared" si="6"/>
        <v>7</v>
      </c>
      <c r="AS6" s="664">
        <f t="shared" si="7"/>
        <v>10</v>
      </c>
      <c r="AT6" s="664">
        <f t="shared" si="8"/>
        <v>10</v>
      </c>
      <c r="AU6" s="664">
        <f t="shared" si="9"/>
        <v>10</v>
      </c>
      <c r="AV6" s="664">
        <f t="shared" si="10"/>
        <v>10</v>
      </c>
      <c r="AW6" s="664">
        <f t="shared" si="11"/>
        <v>5</v>
      </c>
      <c r="AX6" s="664">
        <f t="shared" si="12"/>
        <v>5</v>
      </c>
      <c r="AY6" s="664">
        <f t="shared" si="13"/>
        <v>5</v>
      </c>
      <c r="AZ6" s="664">
        <f t="shared" si="14"/>
        <v>10</v>
      </c>
      <c r="BA6" s="664">
        <f t="shared" si="15"/>
        <v>10</v>
      </c>
      <c r="BB6" s="664">
        <f t="shared" si="16"/>
        <v>1</v>
      </c>
      <c r="BC6" s="664">
        <f t="shared" si="17"/>
        <v>10</v>
      </c>
      <c r="BD6" s="664">
        <f t="shared" si="18"/>
        <v>1</v>
      </c>
      <c r="BE6" s="664">
        <f t="shared" si="19"/>
        <v>5</v>
      </c>
      <c r="BF6" s="664">
        <f t="shared" si="20"/>
        <v>10</v>
      </c>
      <c r="BG6" s="664">
        <f t="shared" si="21"/>
        <v>1</v>
      </c>
      <c r="BH6" s="664">
        <f t="shared" si="22"/>
        <v>1</v>
      </c>
      <c r="BI6" s="1009">
        <f t="shared" si="23"/>
        <v>10</v>
      </c>
      <c r="BJ6" s="1020">
        <f t="shared" si="24"/>
        <v>14.7</v>
      </c>
      <c r="BK6" s="931">
        <f t="shared" si="25"/>
        <v>11.200000000000001</v>
      </c>
      <c r="BL6" s="931">
        <f t="shared" si="26"/>
        <v>15</v>
      </c>
      <c r="BM6" s="931">
        <f t="shared" si="27"/>
        <v>9.8000000000000007</v>
      </c>
      <c r="BN6" s="931">
        <f t="shared" si="28"/>
        <v>9.8000000000000007</v>
      </c>
      <c r="BO6" s="931">
        <f t="shared" si="29"/>
        <v>5.333333333333333</v>
      </c>
      <c r="BP6" s="1021">
        <f t="shared" si="30"/>
        <v>4</v>
      </c>
      <c r="BQ6" s="1011">
        <f t="shared" si="31"/>
        <v>69.833333333333329</v>
      </c>
      <c r="BR6" s="668">
        <f t="shared" si="32"/>
        <v>3</v>
      </c>
      <c r="BS6" s="944" t="s">
        <v>376</v>
      </c>
      <c r="BT6" s="941" t="s">
        <v>376</v>
      </c>
      <c r="BU6" s="635" t="s">
        <v>1258</v>
      </c>
      <c r="BV6" s="1045" t="e">
        <f>VLOOKUP($B6,Tiers!$A:$K,11,FALSE)</f>
        <v>#N/A</v>
      </c>
      <c r="BW6" s="670" t="s">
        <v>1416</v>
      </c>
    </row>
    <row r="7" spans="1:75" ht="13.8" x14ac:dyDescent="0.3">
      <c r="A7" s="640">
        <v>27</v>
      </c>
      <c r="B7" s="600" t="s">
        <v>903</v>
      </c>
      <c r="C7" s="574" t="s">
        <v>37</v>
      </c>
      <c r="D7" s="577" t="s">
        <v>1674</v>
      </c>
      <c r="E7" s="576" t="s">
        <v>855</v>
      </c>
      <c r="F7" s="576" t="s">
        <v>1065</v>
      </c>
      <c r="G7" s="279">
        <v>2257.8278209999999</v>
      </c>
      <c r="H7" s="579">
        <f t="shared" si="0"/>
        <v>0.42761890549242421</v>
      </c>
      <c r="I7" s="576" t="s">
        <v>1481</v>
      </c>
      <c r="J7" s="580" t="s">
        <v>824</v>
      </c>
      <c r="K7" s="580"/>
      <c r="L7" s="580"/>
      <c r="M7" s="580"/>
      <c r="N7" s="581">
        <v>2</v>
      </c>
      <c r="O7" s="582">
        <v>2</v>
      </c>
      <c r="P7" s="583" t="s">
        <v>670</v>
      </c>
      <c r="Q7" s="573" t="str">
        <f t="shared" si="1"/>
        <v>M45</v>
      </c>
      <c r="R7" s="657">
        <v>10</v>
      </c>
      <c r="S7" s="657">
        <v>3955</v>
      </c>
      <c r="T7" s="655">
        <v>10</v>
      </c>
      <c r="U7" s="652">
        <v>1</v>
      </c>
      <c r="V7" s="652">
        <v>1.5</v>
      </c>
      <c r="W7" s="658">
        <v>10</v>
      </c>
      <c r="X7" s="656">
        <v>0</v>
      </c>
      <c r="Y7" s="657">
        <v>5</v>
      </c>
      <c r="Z7" s="657">
        <v>10</v>
      </c>
      <c r="AA7" s="656">
        <v>0</v>
      </c>
      <c r="AB7" s="654">
        <v>0</v>
      </c>
      <c r="AC7" s="655">
        <v>5</v>
      </c>
      <c r="AD7" s="655">
        <v>10</v>
      </c>
      <c r="AE7" s="655">
        <v>10</v>
      </c>
      <c r="AF7" s="659">
        <v>10</v>
      </c>
      <c r="AG7" s="655">
        <v>10</v>
      </c>
      <c r="AH7" s="654">
        <v>0</v>
      </c>
      <c r="AI7" s="656">
        <v>0</v>
      </c>
      <c r="AJ7" s="657">
        <v>7</v>
      </c>
      <c r="AK7" s="655">
        <v>10</v>
      </c>
      <c r="AL7" s="655">
        <v>10</v>
      </c>
      <c r="AM7" s="655">
        <v>10</v>
      </c>
      <c r="AN7" s="664">
        <f t="shared" si="2"/>
        <v>10</v>
      </c>
      <c r="AO7" s="664">
        <f t="shared" si="3"/>
        <v>5</v>
      </c>
      <c r="AP7" s="664">
        <f t="shared" si="4"/>
        <v>10</v>
      </c>
      <c r="AQ7" s="664">
        <f t="shared" si="5"/>
        <v>2</v>
      </c>
      <c r="AR7" s="664">
        <f t="shared" si="6"/>
        <v>10</v>
      </c>
      <c r="AS7" s="664">
        <f t="shared" si="7"/>
        <v>10</v>
      </c>
      <c r="AT7" s="664">
        <f t="shared" si="8"/>
        <v>1</v>
      </c>
      <c r="AU7" s="664">
        <f t="shared" si="9"/>
        <v>5</v>
      </c>
      <c r="AV7" s="664">
        <f t="shared" si="10"/>
        <v>10</v>
      </c>
      <c r="AW7" s="664">
        <f t="shared" si="11"/>
        <v>1</v>
      </c>
      <c r="AX7" s="664">
        <f t="shared" si="12"/>
        <v>1</v>
      </c>
      <c r="AY7" s="664">
        <f t="shared" si="13"/>
        <v>5</v>
      </c>
      <c r="AZ7" s="664">
        <f t="shared" si="14"/>
        <v>10</v>
      </c>
      <c r="BA7" s="664">
        <f t="shared" si="15"/>
        <v>10</v>
      </c>
      <c r="BB7" s="664">
        <f t="shared" si="16"/>
        <v>10</v>
      </c>
      <c r="BC7" s="664">
        <f t="shared" si="17"/>
        <v>10</v>
      </c>
      <c r="BD7" s="664">
        <f t="shared" si="18"/>
        <v>1</v>
      </c>
      <c r="BE7" s="664">
        <f t="shared" si="19"/>
        <v>1</v>
      </c>
      <c r="BF7" s="664">
        <f t="shared" si="20"/>
        <v>10</v>
      </c>
      <c r="BG7" s="664">
        <f t="shared" si="21"/>
        <v>10</v>
      </c>
      <c r="BH7" s="664">
        <f t="shared" si="22"/>
        <v>10</v>
      </c>
      <c r="BI7" s="1009">
        <f t="shared" si="23"/>
        <v>10</v>
      </c>
      <c r="BJ7" s="1020">
        <f t="shared" si="24"/>
        <v>17.5</v>
      </c>
      <c r="BK7" s="931">
        <f t="shared" si="25"/>
        <v>11.733333333333334</v>
      </c>
      <c r="BL7" s="931">
        <f t="shared" si="26"/>
        <v>4.5</v>
      </c>
      <c r="BM7" s="931">
        <f t="shared" si="27"/>
        <v>7.5600000000000014</v>
      </c>
      <c r="BN7" s="931">
        <f t="shared" si="28"/>
        <v>14.000000000000002</v>
      </c>
      <c r="BO7" s="931">
        <f t="shared" si="29"/>
        <v>4</v>
      </c>
      <c r="BP7" s="1021">
        <f t="shared" si="30"/>
        <v>10</v>
      </c>
      <c r="BQ7" s="1011">
        <f t="shared" si="31"/>
        <v>69.293333333333337</v>
      </c>
      <c r="BR7" s="668">
        <f t="shared" si="32"/>
        <v>4</v>
      </c>
      <c r="BS7" s="942">
        <v>7</v>
      </c>
      <c r="BT7" s="943" t="s">
        <v>341</v>
      </c>
      <c r="BU7" s="635" t="s">
        <v>1258</v>
      </c>
      <c r="BV7" s="1045" t="str">
        <f>VLOOKUP($B7,Tiers!$A:$K,11,FALSE)</f>
        <v>Tier 2</v>
      </c>
      <c r="BW7" s="622"/>
    </row>
    <row r="8" spans="1:75" x14ac:dyDescent="0.25">
      <c r="A8" s="641">
        <v>35</v>
      </c>
      <c r="B8" s="600" t="s">
        <v>910</v>
      </c>
      <c r="C8" s="574" t="s">
        <v>37</v>
      </c>
      <c r="D8" s="930" t="s">
        <v>731</v>
      </c>
      <c r="E8" s="576" t="s">
        <v>864</v>
      </c>
      <c r="F8" s="576" t="s">
        <v>865</v>
      </c>
      <c r="G8" s="578">
        <v>7645.7273558655997</v>
      </c>
      <c r="H8" s="579">
        <f t="shared" si="0"/>
        <v>1.4480544234593939</v>
      </c>
      <c r="I8" s="576" t="s">
        <v>1481</v>
      </c>
      <c r="J8" s="580" t="s">
        <v>824</v>
      </c>
      <c r="K8" s="580" t="s">
        <v>824</v>
      </c>
      <c r="L8" s="580" t="s">
        <v>824</v>
      </c>
      <c r="M8" s="580" t="s">
        <v>824</v>
      </c>
      <c r="N8" s="581">
        <v>3</v>
      </c>
      <c r="O8" s="581">
        <v>3</v>
      </c>
      <c r="P8" s="583" t="s">
        <v>670</v>
      </c>
      <c r="Q8" s="573" t="str">
        <f t="shared" si="1"/>
        <v>M52</v>
      </c>
      <c r="R8" s="656">
        <v>0</v>
      </c>
      <c r="S8" s="657">
        <v>3465</v>
      </c>
      <c r="T8" s="655">
        <v>10</v>
      </c>
      <c r="U8" s="651">
        <v>0</v>
      </c>
      <c r="V8" s="652">
        <v>1.34</v>
      </c>
      <c r="W8" s="658">
        <v>10</v>
      </c>
      <c r="X8" s="654">
        <v>0</v>
      </c>
      <c r="Y8" s="657">
        <v>10</v>
      </c>
      <c r="Z8" s="655">
        <v>10</v>
      </c>
      <c r="AA8" s="654">
        <v>0</v>
      </c>
      <c r="AB8" s="655">
        <v>5</v>
      </c>
      <c r="AC8" s="655">
        <v>10</v>
      </c>
      <c r="AD8" s="655">
        <v>10</v>
      </c>
      <c r="AE8" s="655">
        <v>10</v>
      </c>
      <c r="AF8" s="659">
        <v>10</v>
      </c>
      <c r="AG8" s="655">
        <v>10</v>
      </c>
      <c r="AH8" s="654">
        <v>0</v>
      </c>
      <c r="AI8" s="657">
        <v>10</v>
      </c>
      <c r="AJ8" s="657">
        <v>4</v>
      </c>
      <c r="AK8" s="655">
        <v>10</v>
      </c>
      <c r="AL8" s="655">
        <v>10</v>
      </c>
      <c r="AM8" s="655">
        <v>10</v>
      </c>
      <c r="AN8" s="664">
        <f t="shared" si="2"/>
        <v>1</v>
      </c>
      <c r="AO8" s="664">
        <f t="shared" si="3"/>
        <v>5</v>
      </c>
      <c r="AP8" s="664">
        <f t="shared" si="4"/>
        <v>10</v>
      </c>
      <c r="AQ8" s="664">
        <f t="shared" si="5"/>
        <v>1</v>
      </c>
      <c r="AR8" s="664">
        <f t="shared" si="6"/>
        <v>9</v>
      </c>
      <c r="AS8" s="664">
        <f t="shared" si="7"/>
        <v>10</v>
      </c>
      <c r="AT8" s="664">
        <f t="shared" si="8"/>
        <v>1</v>
      </c>
      <c r="AU8" s="664">
        <f t="shared" si="9"/>
        <v>10</v>
      </c>
      <c r="AV8" s="664">
        <f t="shared" si="10"/>
        <v>10</v>
      </c>
      <c r="AW8" s="664">
        <f t="shared" si="11"/>
        <v>1</v>
      </c>
      <c r="AX8" s="664">
        <f t="shared" si="12"/>
        <v>5</v>
      </c>
      <c r="AY8" s="664">
        <f t="shared" si="13"/>
        <v>10</v>
      </c>
      <c r="AZ8" s="664">
        <f t="shared" si="14"/>
        <v>10</v>
      </c>
      <c r="BA8" s="664">
        <f t="shared" si="15"/>
        <v>10</v>
      </c>
      <c r="BB8" s="664">
        <f t="shared" si="16"/>
        <v>10</v>
      </c>
      <c r="BC8" s="664">
        <f t="shared" si="17"/>
        <v>10</v>
      </c>
      <c r="BD8" s="664">
        <f t="shared" si="18"/>
        <v>1</v>
      </c>
      <c r="BE8" s="664">
        <f t="shared" si="19"/>
        <v>10</v>
      </c>
      <c r="BF8" s="664">
        <f t="shared" si="20"/>
        <v>3</v>
      </c>
      <c r="BG8" s="664">
        <f t="shared" si="21"/>
        <v>10</v>
      </c>
      <c r="BH8" s="664">
        <f t="shared" si="22"/>
        <v>10</v>
      </c>
      <c r="BI8" s="1009">
        <f t="shared" si="23"/>
        <v>10</v>
      </c>
      <c r="BJ8" s="1020">
        <f t="shared" si="24"/>
        <v>11.2</v>
      </c>
      <c r="BK8" s="931">
        <f t="shared" si="25"/>
        <v>10.666666666666666</v>
      </c>
      <c r="BL8" s="931">
        <f t="shared" si="26"/>
        <v>8.25</v>
      </c>
      <c r="BM8" s="931">
        <f t="shared" si="27"/>
        <v>10.080000000000002</v>
      </c>
      <c r="BN8" s="931">
        <f t="shared" si="28"/>
        <v>14.000000000000002</v>
      </c>
      <c r="BO8" s="931">
        <f t="shared" si="29"/>
        <v>4.666666666666667</v>
      </c>
      <c r="BP8" s="1021">
        <f t="shared" si="30"/>
        <v>10</v>
      </c>
      <c r="BQ8" s="1011">
        <f t="shared" si="31"/>
        <v>68.863333333333344</v>
      </c>
      <c r="BR8" s="668">
        <f t="shared" si="32"/>
        <v>5</v>
      </c>
      <c r="BS8" s="942">
        <v>21</v>
      </c>
      <c r="BT8" s="943" t="s">
        <v>275</v>
      </c>
      <c r="BU8" s="635" t="s">
        <v>1258</v>
      </c>
      <c r="BV8" s="1046" t="str">
        <f>VLOOKUP($B8,Tiers!$A:$K,11,FALSE)</f>
        <v>Tier 1</v>
      </c>
      <c r="BW8" s="622"/>
    </row>
    <row r="9" spans="1:75" x14ac:dyDescent="0.25">
      <c r="A9" s="641">
        <v>32</v>
      </c>
      <c r="B9" s="600" t="s">
        <v>908</v>
      </c>
      <c r="C9" s="574" t="s">
        <v>37</v>
      </c>
      <c r="D9" s="584" t="s">
        <v>1358</v>
      </c>
      <c r="E9" s="576" t="s">
        <v>736</v>
      </c>
      <c r="F9" s="576" t="s">
        <v>785</v>
      </c>
      <c r="G9" s="578">
        <v>9452.5703950004408</v>
      </c>
      <c r="H9" s="579">
        <f t="shared" si="0"/>
        <v>1.7902595445076592</v>
      </c>
      <c r="I9" s="576" t="s">
        <v>1481</v>
      </c>
      <c r="J9" s="580" t="s">
        <v>824</v>
      </c>
      <c r="K9" s="580"/>
      <c r="L9" s="580" t="s">
        <v>824</v>
      </c>
      <c r="M9" s="580" t="s">
        <v>824</v>
      </c>
      <c r="N9" s="582" t="s">
        <v>964</v>
      </c>
      <c r="O9" s="582" t="s">
        <v>964</v>
      </c>
      <c r="P9" s="583" t="s">
        <v>670</v>
      </c>
      <c r="Q9" s="573" t="str">
        <f t="shared" si="1"/>
        <v>M50</v>
      </c>
      <c r="R9" s="656">
        <v>0</v>
      </c>
      <c r="S9" s="657">
        <v>3490</v>
      </c>
      <c r="T9" s="655">
        <v>10</v>
      </c>
      <c r="U9" s="652">
        <v>1.53</v>
      </c>
      <c r="V9" s="652">
        <v>1.35</v>
      </c>
      <c r="W9" s="654">
        <v>0</v>
      </c>
      <c r="X9" s="655">
        <v>10</v>
      </c>
      <c r="Y9" s="655">
        <v>10</v>
      </c>
      <c r="Z9" s="655">
        <v>10</v>
      </c>
      <c r="AA9" s="654">
        <v>0</v>
      </c>
      <c r="AB9" s="654">
        <v>0</v>
      </c>
      <c r="AC9" s="655">
        <v>5</v>
      </c>
      <c r="AD9" s="655">
        <v>10</v>
      </c>
      <c r="AE9" s="655">
        <v>10</v>
      </c>
      <c r="AF9" s="659">
        <v>10</v>
      </c>
      <c r="AG9" s="655">
        <v>10</v>
      </c>
      <c r="AH9" s="655">
        <v>10</v>
      </c>
      <c r="AI9" s="654">
        <v>0</v>
      </c>
      <c r="AJ9" s="657">
        <v>4</v>
      </c>
      <c r="AK9" s="655">
        <v>10</v>
      </c>
      <c r="AL9" s="655">
        <v>10</v>
      </c>
      <c r="AM9" s="654">
        <v>0</v>
      </c>
      <c r="AN9" s="664">
        <f t="shared" si="2"/>
        <v>1</v>
      </c>
      <c r="AO9" s="664">
        <f t="shared" si="3"/>
        <v>5</v>
      </c>
      <c r="AP9" s="664">
        <f t="shared" si="4"/>
        <v>10</v>
      </c>
      <c r="AQ9" s="664">
        <f t="shared" si="5"/>
        <v>3</v>
      </c>
      <c r="AR9" s="664">
        <f t="shared" si="6"/>
        <v>9</v>
      </c>
      <c r="AS9" s="664">
        <f t="shared" si="7"/>
        <v>1</v>
      </c>
      <c r="AT9" s="664">
        <f t="shared" si="8"/>
        <v>10</v>
      </c>
      <c r="AU9" s="664">
        <f t="shared" si="9"/>
        <v>10</v>
      </c>
      <c r="AV9" s="664">
        <f t="shared" si="10"/>
        <v>10</v>
      </c>
      <c r="AW9" s="664">
        <f t="shared" si="11"/>
        <v>1</v>
      </c>
      <c r="AX9" s="664">
        <f t="shared" si="12"/>
        <v>1</v>
      </c>
      <c r="AY9" s="664">
        <f t="shared" si="13"/>
        <v>5</v>
      </c>
      <c r="AZ9" s="664">
        <f t="shared" si="14"/>
        <v>10</v>
      </c>
      <c r="BA9" s="664">
        <f t="shared" si="15"/>
        <v>10</v>
      </c>
      <c r="BB9" s="664">
        <f t="shared" si="16"/>
        <v>10</v>
      </c>
      <c r="BC9" s="664">
        <f t="shared" si="17"/>
        <v>10</v>
      </c>
      <c r="BD9" s="664">
        <f t="shared" si="18"/>
        <v>10</v>
      </c>
      <c r="BE9" s="664">
        <f t="shared" si="19"/>
        <v>1</v>
      </c>
      <c r="BF9" s="664">
        <f t="shared" si="20"/>
        <v>3</v>
      </c>
      <c r="BG9" s="664">
        <f t="shared" si="21"/>
        <v>10</v>
      </c>
      <c r="BH9" s="664">
        <f t="shared" si="22"/>
        <v>10</v>
      </c>
      <c r="BI9" s="1009">
        <f t="shared" si="23"/>
        <v>1</v>
      </c>
      <c r="BJ9" s="1020">
        <f t="shared" si="24"/>
        <v>11.2</v>
      </c>
      <c r="BK9" s="931">
        <f t="shared" si="25"/>
        <v>6.9333333333333327</v>
      </c>
      <c r="BL9" s="931">
        <f t="shared" si="26"/>
        <v>15</v>
      </c>
      <c r="BM9" s="931">
        <f t="shared" si="27"/>
        <v>7.5600000000000014</v>
      </c>
      <c r="BN9" s="931">
        <f t="shared" si="28"/>
        <v>14.000000000000002</v>
      </c>
      <c r="BO9" s="931">
        <f t="shared" si="29"/>
        <v>4.666666666666667</v>
      </c>
      <c r="BP9" s="1021">
        <f t="shared" si="30"/>
        <v>7.0000000000000009</v>
      </c>
      <c r="BQ9" s="1011">
        <f t="shared" si="31"/>
        <v>66.36</v>
      </c>
      <c r="BR9" s="668">
        <f t="shared" si="32"/>
        <v>6</v>
      </c>
      <c r="BS9" s="942">
        <v>17</v>
      </c>
      <c r="BT9" s="943" t="s">
        <v>275</v>
      </c>
      <c r="BU9" s="635" t="s">
        <v>1258</v>
      </c>
      <c r="BV9" s="1045" t="str">
        <f>VLOOKUP($B9,Tiers!$A:$K,11,FALSE)</f>
        <v>Tier 1</v>
      </c>
      <c r="BW9" s="622"/>
    </row>
    <row r="10" spans="1:75" x14ac:dyDescent="0.25">
      <c r="A10" s="641">
        <v>29</v>
      </c>
      <c r="B10" s="600" t="s">
        <v>1341</v>
      </c>
      <c r="C10" s="574" t="s">
        <v>37</v>
      </c>
      <c r="D10" s="584" t="s">
        <v>1669</v>
      </c>
      <c r="E10" s="576" t="s">
        <v>856</v>
      </c>
      <c r="F10" s="576" t="s">
        <v>1633</v>
      </c>
      <c r="G10" s="578">
        <v>7012.8479850000003</v>
      </c>
      <c r="H10" s="579">
        <f t="shared" si="0"/>
        <v>1.3281909062500001</v>
      </c>
      <c r="I10" s="576" t="s">
        <v>672</v>
      </c>
      <c r="J10" s="580"/>
      <c r="K10" s="580" t="s">
        <v>824</v>
      </c>
      <c r="L10" s="580" t="s">
        <v>824</v>
      </c>
      <c r="M10" s="580" t="s">
        <v>824</v>
      </c>
      <c r="N10" s="581">
        <v>2</v>
      </c>
      <c r="O10" s="581">
        <v>3</v>
      </c>
      <c r="P10" s="583" t="s">
        <v>670</v>
      </c>
      <c r="Q10" s="573" t="str">
        <f t="shared" si="1"/>
        <v>M49a</v>
      </c>
      <c r="R10" s="656">
        <v>0</v>
      </c>
      <c r="S10" s="890">
        <v>7700</v>
      </c>
      <c r="T10" s="654">
        <v>0</v>
      </c>
      <c r="U10" s="651">
        <v>0</v>
      </c>
      <c r="V10" s="892">
        <v>0.93</v>
      </c>
      <c r="W10" s="890">
        <v>10</v>
      </c>
      <c r="X10" s="649">
        <v>0</v>
      </c>
      <c r="Y10" s="891">
        <v>10</v>
      </c>
      <c r="Z10" s="891">
        <v>10</v>
      </c>
      <c r="AA10" s="649">
        <v>0</v>
      </c>
      <c r="AB10" s="649">
        <v>0</v>
      </c>
      <c r="AC10" s="891">
        <v>10</v>
      </c>
      <c r="AD10" s="891">
        <v>10</v>
      </c>
      <c r="AE10" s="891">
        <v>5</v>
      </c>
      <c r="AF10" s="891">
        <v>10</v>
      </c>
      <c r="AG10" s="891">
        <v>10</v>
      </c>
      <c r="AH10" s="649">
        <v>0</v>
      </c>
      <c r="AI10" s="890">
        <v>10</v>
      </c>
      <c r="AJ10" s="890">
        <v>4</v>
      </c>
      <c r="AK10" s="891">
        <v>10</v>
      </c>
      <c r="AL10" s="891">
        <v>10</v>
      </c>
      <c r="AM10" s="891">
        <v>0</v>
      </c>
      <c r="AN10" s="664">
        <f t="shared" si="2"/>
        <v>1</v>
      </c>
      <c r="AO10" s="664">
        <f t="shared" si="3"/>
        <v>10</v>
      </c>
      <c r="AP10" s="664">
        <f t="shared" si="4"/>
        <v>1</v>
      </c>
      <c r="AQ10" s="664">
        <f t="shared" si="5"/>
        <v>1</v>
      </c>
      <c r="AR10" s="664">
        <f t="shared" si="6"/>
        <v>6</v>
      </c>
      <c r="AS10" s="664">
        <f t="shared" si="7"/>
        <v>10</v>
      </c>
      <c r="AT10" s="664">
        <f t="shared" si="8"/>
        <v>1</v>
      </c>
      <c r="AU10" s="664">
        <f t="shared" si="9"/>
        <v>10</v>
      </c>
      <c r="AV10" s="664">
        <f t="shared" si="10"/>
        <v>10</v>
      </c>
      <c r="AW10" s="664">
        <f t="shared" si="11"/>
        <v>1</v>
      </c>
      <c r="AX10" s="664">
        <f t="shared" si="12"/>
        <v>1</v>
      </c>
      <c r="AY10" s="664">
        <f t="shared" si="13"/>
        <v>10</v>
      </c>
      <c r="AZ10" s="664">
        <f t="shared" si="14"/>
        <v>10</v>
      </c>
      <c r="BA10" s="664">
        <f t="shared" si="15"/>
        <v>5</v>
      </c>
      <c r="BB10" s="664">
        <f t="shared" si="16"/>
        <v>10</v>
      </c>
      <c r="BC10" s="664">
        <f t="shared" si="17"/>
        <v>10</v>
      </c>
      <c r="BD10" s="664">
        <f t="shared" si="18"/>
        <v>1</v>
      </c>
      <c r="BE10" s="664">
        <f t="shared" si="19"/>
        <v>10</v>
      </c>
      <c r="BF10" s="664">
        <f t="shared" si="20"/>
        <v>3</v>
      </c>
      <c r="BG10" s="664">
        <f t="shared" si="21"/>
        <v>10</v>
      </c>
      <c r="BH10" s="664">
        <f t="shared" si="22"/>
        <v>10</v>
      </c>
      <c r="BI10" s="1009">
        <f t="shared" si="23"/>
        <v>1</v>
      </c>
      <c r="BJ10" s="1020">
        <f t="shared" si="24"/>
        <v>8.4</v>
      </c>
      <c r="BK10" s="931">
        <f t="shared" si="25"/>
        <v>9.0666666666666664</v>
      </c>
      <c r="BL10" s="931">
        <f t="shared" si="26"/>
        <v>8.25</v>
      </c>
      <c r="BM10" s="931">
        <f t="shared" si="27"/>
        <v>8.9600000000000009</v>
      </c>
      <c r="BN10" s="931">
        <f t="shared" si="28"/>
        <v>11.66666666666667</v>
      </c>
      <c r="BO10" s="931">
        <f t="shared" si="29"/>
        <v>4.666666666666667</v>
      </c>
      <c r="BP10" s="1021">
        <f t="shared" si="30"/>
        <v>7.0000000000000009</v>
      </c>
      <c r="BQ10" s="1011">
        <f t="shared" si="31"/>
        <v>58.010000000000005</v>
      </c>
      <c r="BR10" s="668">
        <f t="shared" si="32"/>
        <v>7</v>
      </c>
      <c r="BS10" s="942">
        <v>9</v>
      </c>
      <c r="BT10" s="943" t="s">
        <v>275</v>
      </c>
      <c r="BU10" s="635" t="s">
        <v>1258</v>
      </c>
      <c r="BV10" s="1046" t="str">
        <f>VLOOKUP($B10,Tiers!$A:$K,11,FALSE)</f>
        <v>Tier 2</v>
      </c>
      <c r="BW10" s="622"/>
    </row>
    <row r="11" spans="1:75" x14ac:dyDescent="0.25">
      <c r="A11" s="640">
        <v>49</v>
      </c>
      <c r="B11" s="600" t="s">
        <v>924</v>
      </c>
      <c r="C11" s="574" t="s">
        <v>37</v>
      </c>
      <c r="D11" s="584" t="s">
        <v>283</v>
      </c>
      <c r="E11" s="576" t="s">
        <v>855</v>
      </c>
      <c r="F11" s="576" t="s">
        <v>994</v>
      </c>
      <c r="G11" s="578">
        <v>9470</v>
      </c>
      <c r="H11" s="579">
        <f t="shared" si="0"/>
        <v>1.793560606060606</v>
      </c>
      <c r="I11" s="576" t="s">
        <v>1487</v>
      </c>
      <c r="J11" s="580" t="s">
        <v>824</v>
      </c>
      <c r="K11" s="580"/>
      <c r="L11" s="580" t="s">
        <v>824</v>
      </c>
      <c r="M11" s="580"/>
      <c r="N11" s="581">
        <v>4</v>
      </c>
      <c r="O11" s="581">
        <v>6</v>
      </c>
      <c r="P11" s="583" t="s">
        <v>779</v>
      </c>
      <c r="Q11" s="573" t="str">
        <f t="shared" si="1"/>
        <v>M69</v>
      </c>
      <c r="R11" s="656">
        <v>0</v>
      </c>
      <c r="S11" s="657">
        <v>4725</v>
      </c>
      <c r="T11" s="655">
        <v>10</v>
      </c>
      <c r="U11" s="650">
        <v>2.1</v>
      </c>
      <c r="V11" s="652">
        <v>1.55</v>
      </c>
      <c r="W11" s="656">
        <v>0</v>
      </c>
      <c r="X11" s="655">
        <v>10</v>
      </c>
      <c r="Y11" s="655">
        <v>10</v>
      </c>
      <c r="Z11" s="654">
        <v>0</v>
      </c>
      <c r="AA11" s="654">
        <v>0</v>
      </c>
      <c r="AB11" s="654">
        <v>0</v>
      </c>
      <c r="AC11" s="655">
        <v>5</v>
      </c>
      <c r="AD11" s="655">
        <v>10</v>
      </c>
      <c r="AE11" s="654">
        <v>0</v>
      </c>
      <c r="AF11" s="659">
        <v>10</v>
      </c>
      <c r="AG11" s="655">
        <v>10</v>
      </c>
      <c r="AH11" s="654">
        <v>0</v>
      </c>
      <c r="AI11" s="656">
        <v>0</v>
      </c>
      <c r="AJ11" s="657">
        <v>5</v>
      </c>
      <c r="AK11" s="655">
        <v>5</v>
      </c>
      <c r="AL11" s="655">
        <v>10</v>
      </c>
      <c r="AM11" s="654">
        <v>0</v>
      </c>
      <c r="AN11" s="664">
        <f t="shared" si="2"/>
        <v>1</v>
      </c>
      <c r="AO11" s="664">
        <f t="shared" si="3"/>
        <v>6</v>
      </c>
      <c r="AP11" s="664">
        <f t="shared" si="4"/>
        <v>10</v>
      </c>
      <c r="AQ11" s="664">
        <f t="shared" si="5"/>
        <v>5</v>
      </c>
      <c r="AR11" s="664">
        <f t="shared" si="6"/>
        <v>10</v>
      </c>
      <c r="AS11" s="664">
        <f t="shared" si="7"/>
        <v>1</v>
      </c>
      <c r="AT11" s="664">
        <f t="shared" si="8"/>
        <v>10</v>
      </c>
      <c r="AU11" s="664">
        <f t="shared" si="9"/>
        <v>10</v>
      </c>
      <c r="AV11" s="664">
        <f t="shared" si="10"/>
        <v>1</v>
      </c>
      <c r="AW11" s="664">
        <f t="shared" si="11"/>
        <v>1</v>
      </c>
      <c r="AX11" s="664">
        <f t="shared" si="12"/>
        <v>1</v>
      </c>
      <c r="AY11" s="664">
        <f t="shared" si="13"/>
        <v>5</v>
      </c>
      <c r="AZ11" s="664">
        <f t="shared" si="14"/>
        <v>10</v>
      </c>
      <c r="BA11" s="664">
        <f t="shared" si="15"/>
        <v>1</v>
      </c>
      <c r="BB11" s="664">
        <f t="shared" si="16"/>
        <v>10</v>
      </c>
      <c r="BC11" s="664">
        <f t="shared" si="17"/>
        <v>10</v>
      </c>
      <c r="BD11" s="664">
        <f t="shared" si="18"/>
        <v>1</v>
      </c>
      <c r="BE11" s="664">
        <f t="shared" si="19"/>
        <v>1</v>
      </c>
      <c r="BF11" s="664">
        <f t="shared" si="20"/>
        <v>5</v>
      </c>
      <c r="BG11" s="664">
        <f t="shared" si="21"/>
        <v>5</v>
      </c>
      <c r="BH11" s="664">
        <f t="shared" si="22"/>
        <v>10</v>
      </c>
      <c r="BI11" s="1009">
        <f t="shared" si="23"/>
        <v>1</v>
      </c>
      <c r="BJ11" s="1020">
        <f t="shared" si="24"/>
        <v>11.899999999999999</v>
      </c>
      <c r="BK11" s="931">
        <f t="shared" si="25"/>
        <v>8.5333333333333332</v>
      </c>
      <c r="BL11" s="931">
        <f t="shared" si="26"/>
        <v>15</v>
      </c>
      <c r="BM11" s="931">
        <f t="shared" si="27"/>
        <v>5.0400000000000009</v>
      </c>
      <c r="BN11" s="931">
        <f t="shared" si="28"/>
        <v>9.8000000000000007</v>
      </c>
      <c r="BO11" s="931">
        <f t="shared" si="29"/>
        <v>2.3333333333333335</v>
      </c>
      <c r="BP11" s="1021">
        <f t="shared" si="30"/>
        <v>5.333333333333333</v>
      </c>
      <c r="BQ11" s="1011">
        <f t="shared" si="31"/>
        <v>57.94</v>
      </c>
      <c r="BR11" s="668">
        <f t="shared" si="32"/>
        <v>8</v>
      </c>
      <c r="BS11" s="942">
        <v>14</v>
      </c>
      <c r="BT11" s="943" t="s">
        <v>272</v>
      </c>
      <c r="BU11" s="635" t="s">
        <v>1258</v>
      </c>
      <c r="BV11" s="1046" t="str">
        <f>VLOOKUP($B11,Tiers!$A:$K,11,FALSE)</f>
        <v>Tier 2</v>
      </c>
      <c r="BW11" s="622"/>
    </row>
    <row r="12" spans="1:75" x14ac:dyDescent="0.25">
      <c r="A12" s="640">
        <v>19</v>
      </c>
      <c r="B12" s="574" t="s">
        <v>1122</v>
      </c>
      <c r="C12" s="574" t="s">
        <v>197</v>
      </c>
      <c r="D12" s="577" t="s">
        <v>771</v>
      </c>
      <c r="E12" s="576" t="s">
        <v>614</v>
      </c>
      <c r="F12" s="576" t="s">
        <v>794</v>
      </c>
      <c r="G12" s="577">
        <v>1</v>
      </c>
      <c r="H12" s="577">
        <v>1</v>
      </c>
      <c r="I12" s="577" t="s">
        <v>1646</v>
      </c>
      <c r="J12" s="276" t="s">
        <v>824</v>
      </c>
      <c r="K12" s="276" t="s">
        <v>824</v>
      </c>
      <c r="L12" s="276" t="s">
        <v>824</v>
      </c>
      <c r="M12" s="276" t="s">
        <v>824</v>
      </c>
      <c r="N12" s="580"/>
      <c r="O12" s="580"/>
      <c r="P12" s="580" t="s">
        <v>670</v>
      </c>
      <c r="Q12" s="573" t="str">
        <f t="shared" si="1"/>
        <v>M21</v>
      </c>
      <c r="R12" s="656">
        <v>0</v>
      </c>
      <c r="S12" s="657">
        <v>7700</v>
      </c>
      <c r="T12" s="654">
        <v>0</v>
      </c>
      <c r="U12" s="650">
        <v>2.4500000000000002</v>
      </c>
      <c r="V12" s="652">
        <v>1.42</v>
      </c>
      <c r="W12" s="658">
        <v>10</v>
      </c>
      <c r="X12" s="655">
        <v>10</v>
      </c>
      <c r="Y12" s="655">
        <v>10</v>
      </c>
      <c r="Z12" s="655">
        <v>10</v>
      </c>
      <c r="AA12" s="655">
        <v>5</v>
      </c>
      <c r="AB12" s="654">
        <v>0</v>
      </c>
      <c r="AC12" s="655">
        <v>5</v>
      </c>
      <c r="AD12" s="654">
        <v>0</v>
      </c>
      <c r="AE12" s="654">
        <v>0</v>
      </c>
      <c r="AF12" s="654">
        <v>0</v>
      </c>
      <c r="AG12" s="655">
        <v>10</v>
      </c>
      <c r="AH12" s="655">
        <v>5</v>
      </c>
      <c r="AI12" s="656">
        <v>0</v>
      </c>
      <c r="AJ12" s="657">
        <v>3</v>
      </c>
      <c r="AK12" s="655">
        <v>10</v>
      </c>
      <c r="AL12" s="655">
        <v>10</v>
      </c>
      <c r="AM12" s="654">
        <v>0</v>
      </c>
      <c r="AN12" s="664">
        <f t="shared" si="2"/>
        <v>1</v>
      </c>
      <c r="AO12" s="664">
        <f t="shared" si="3"/>
        <v>10</v>
      </c>
      <c r="AP12" s="664">
        <f t="shared" si="4"/>
        <v>1</v>
      </c>
      <c r="AQ12" s="664">
        <f t="shared" si="5"/>
        <v>5</v>
      </c>
      <c r="AR12" s="664">
        <f t="shared" si="6"/>
        <v>9</v>
      </c>
      <c r="AS12" s="664">
        <f t="shared" si="7"/>
        <v>10</v>
      </c>
      <c r="AT12" s="664">
        <f t="shared" si="8"/>
        <v>10</v>
      </c>
      <c r="AU12" s="664">
        <f t="shared" si="9"/>
        <v>10</v>
      </c>
      <c r="AV12" s="664">
        <f t="shared" si="10"/>
        <v>10</v>
      </c>
      <c r="AW12" s="664">
        <f t="shared" si="11"/>
        <v>5</v>
      </c>
      <c r="AX12" s="664">
        <f t="shared" si="12"/>
        <v>1</v>
      </c>
      <c r="AY12" s="664">
        <f t="shared" si="13"/>
        <v>5</v>
      </c>
      <c r="AZ12" s="664">
        <f t="shared" si="14"/>
        <v>1</v>
      </c>
      <c r="BA12" s="664">
        <f t="shared" si="15"/>
        <v>1</v>
      </c>
      <c r="BB12" s="664">
        <f t="shared" si="16"/>
        <v>1</v>
      </c>
      <c r="BC12" s="664">
        <f t="shared" si="17"/>
        <v>10</v>
      </c>
      <c r="BD12" s="664">
        <f t="shared" si="18"/>
        <v>5</v>
      </c>
      <c r="BE12" s="664">
        <f t="shared" si="19"/>
        <v>1</v>
      </c>
      <c r="BF12" s="664">
        <f t="shared" si="20"/>
        <v>1</v>
      </c>
      <c r="BG12" s="664">
        <f t="shared" si="21"/>
        <v>10</v>
      </c>
      <c r="BH12" s="664">
        <f t="shared" si="22"/>
        <v>10</v>
      </c>
      <c r="BI12" s="1009">
        <f t="shared" si="23"/>
        <v>1</v>
      </c>
      <c r="BJ12" s="1020">
        <f t="shared" si="24"/>
        <v>8.4</v>
      </c>
      <c r="BK12" s="931">
        <f t="shared" si="25"/>
        <v>12.8</v>
      </c>
      <c r="BL12" s="931">
        <f t="shared" si="26"/>
        <v>15</v>
      </c>
      <c r="BM12" s="931">
        <f t="shared" si="27"/>
        <v>6.160000000000001</v>
      </c>
      <c r="BN12" s="931">
        <f t="shared" si="28"/>
        <v>5.6000000000000005</v>
      </c>
      <c r="BO12" s="931">
        <f t="shared" si="29"/>
        <v>2.3333333333333335</v>
      </c>
      <c r="BP12" s="1021">
        <f t="shared" si="30"/>
        <v>7.0000000000000009</v>
      </c>
      <c r="BQ12" s="1011">
        <f t="shared" si="31"/>
        <v>57.293333333333344</v>
      </c>
      <c r="BR12" s="668">
        <f t="shared" si="32"/>
        <v>9</v>
      </c>
      <c r="BS12" s="944" t="s">
        <v>376</v>
      </c>
      <c r="BT12" s="941" t="s">
        <v>376</v>
      </c>
      <c r="BU12" s="635" t="s">
        <v>1258</v>
      </c>
      <c r="BV12" s="1045" t="str">
        <f>VLOOKUP($B12,Tiers!$A:$K,11,FALSE)</f>
        <v>Tier 2</v>
      </c>
      <c r="BW12" s="670"/>
    </row>
    <row r="13" spans="1:75" x14ac:dyDescent="0.25">
      <c r="A13" s="640">
        <v>45</v>
      </c>
      <c r="B13" s="600" t="s">
        <v>920</v>
      </c>
      <c r="C13" s="574" t="s">
        <v>37</v>
      </c>
      <c r="D13" s="584" t="s">
        <v>974</v>
      </c>
      <c r="E13" s="576" t="s">
        <v>862</v>
      </c>
      <c r="F13" s="576" t="s">
        <v>728</v>
      </c>
      <c r="G13" s="578">
        <v>8842.2322117673903</v>
      </c>
      <c r="H13" s="579">
        <f t="shared" ref="H13:H18" si="33">G13/5280</f>
        <v>1.6746651916226118</v>
      </c>
      <c r="I13" s="576" t="s">
        <v>1481</v>
      </c>
      <c r="J13" s="580" t="s">
        <v>824</v>
      </c>
      <c r="K13" s="580" t="s">
        <v>824</v>
      </c>
      <c r="L13" s="580" t="s">
        <v>824</v>
      </c>
      <c r="M13" s="580" t="s">
        <v>824</v>
      </c>
      <c r="N13" s="581">
        <v>2</v>
      </c>
      <c r="O13" s="581">
        <v>2</v>
      </c>
      <c r="P13" s="583" t="s">
        <v>670</v>
      </c>
      <c r="Q13" s="573" t="str">
        <f t="shared" si="1"/>
        <v>M64</v>
      </c>
      <c r="R13" s="656">
        <v>0</v>
      </c>
      <c r="S13" s="657">
        <v>1820</v>
      </c>
      <c r="T13" s="655">
        <v>10</v>
      </c>
      <c r="U13" s="650">
        <v>1.96</v>
      </c>
      <c r="V13" s="652">
        <v>1.38</v>
      </c>
      <c r="W13" s="656">
        <v>0</v>
      </c>
      <c r="X13" s="654">
        <v>0</v>
      </c>
      <c r="Y13" s="655">
        <v>10</v>
      </c>
      <c r="Z13" s="655">
        <v>10</v>
      </c>
      <c r="AA13" s="654">
        <v>0</v>
      </c>
      <c r="AB13" s="654">
        <v>0</v>
      </c>
      <c r="AC13" s="655">
        <v>5</v>
      </c>
      <c r="AD13" s="655">
        <v>10</v>
      </c>
      <c r="AE13" s="655">
        <v>10</v>
      </c>
      <c r="AF13" s="659">
        <v>10</v>
      </c>
      <c r="AG13" s="655">
        <v>10</v>
      </c>
      <c r="AH13" s="654">
        <v>0</v>
      </c>
      <c r="AI13" s="656">
        <v>0</v>
      </c>
      <c r="AJ13" s="657">
        <v>5</v>
      </c>
      <c r="AK13" s="655">
        <v>10</v>
      </c>
      <c r="AL13" s="655">
        <v>10</v>
      </c>
      <c r="AM13" s="654">
        <v>0</v>
      </c>
      <c r="AN13" s="664">
        <f t="shared" si="2"/>
        <v>1</v>
      </c>
      <c r="AO13" s="664">
        <f t="shared" si="3"/>
        <v>2</v>
      </c>
      <c r="AP13" s="664">
        <f t="shared" si="4"/>
        <v>10</v>
      </c>
      <c r="AQ13" s="664">
        <f t="shared" si="5"/>
        <v>4</v>
      </c>
      <c r="AR13" s="664">
        <f t="shared" si="6"/>
        <v>9</v>
      </c>
      <c r="AS13" s="664">
        <f t="shared" si="7"/>
        <v>1</v>
      </c>
      <c r="AT13" s="664">
        <f t="shared" si="8"/>
        <v>1</v>
      </c>
      <c r="AU13" s="664">
        <f t="shared" si="9"/>
        <v>10</v>
      </c>
      <c r="AV13" s="664">
        <f t="shared" si="10"/>
        <v>10</v>
      </c>
      <c r="AW13" s="664">
        <f t="shared" si="11"/>
        <v>1</v>
      </c>
      <c r="AX13" s="664">
        <f t="shared" si="12"/>
        <v>1</v>
      </c>
      <c r="AY13" s="664">
        <f t="shared" si="13"/>
        <v>5</v>
      </c>
      <c r="AZ13" s="664">
        <f t="shared" si="14"/>
        <v>10</v>
      </c>
      <c r="BA13" s="664">
        <f t="shared" si="15"/>
        <v>10</v>
      </c>
      <c r="BB13" s="664">
        <f t="shared" si="16"/>
        <v>10</v>
      </c>
      <c r="BC13" s="664">
        <f t="shared" si="17"/>
        <v>10</v>
      </c>
      <c r="BD13" s="664">
        <f t="shared" si="18"/>
        <v>1</v>
      </c>
      <c r="BE13" s="664">
        <f t="shared" si="19"/>
        <v>1</v>
      </c>
      <c r="BF13" s="664">
        <f t="shared" si="20"/>
        <v>5</v>
      </c>
      <c r="BG13" s="664">
        <f t="shared" si="21"/>
        <v>10</v>
      </c>
      <c r="BH13" s="664">
        <f t="shared" si="22"/>
        <v>10</v>
      </c>
      <c r="BI13" s="1009">
        <f t="shared" si="23"/>
        <v>1</v>
      </c>
      <c r="BJ13" s="1020">
        <f t="shared" si="24"/>
        <v>9.1</v>
      </c>
      <c r="BK13" s="931">
        <f t="shared" si="25"/>
        <v>7.4666666666666668</v>
      </c>
      <c r="BL13" s="931">
        <f t="shared" si="26"/>
        <v>8.25</v>
      </c>
      <c r="BM13" s="931">
        <f t="shared" si="27"/>
        <v>7.5600000000000014</v>
      </c>
      <c r="BN13" s="931">
        <f t="shared" si="28"/>
        <v>14.000000000000002</v>
      </c>
      <c r="BO13" s="931">
        <f t="shared" si="29"/>
        <v>2.3333333333333335</v>
      </c>
      <c r="BP13" s="1021">
        <f t="shared" si="30"/>
        <v>7.0000000000000009</v>
      </c>
      <c r="BQ13" s="1011">
        <f t="shared" si="31"/>
        <v>55.71</v>
      </c>
      <c r="BR13" s="668">
        <f t="shared" si="32"/>
        <v>10</v>
      </c>
      <c r="BS13" s="942">
        <v>25</v>
      </c>
      <c r="BT13" s="943" t="s">
        <v>284</v>
      </c>
      <c r="BU13" s="635" t="s">
        <v>1258</v>
      </c>
      <c r="BV13" s="1047" t="str">
        <f>VLOOKUP($B13,Tiers!$A:$K,11,FALSE)</f>
        <v>Tier 1</v>
      </c>
      <c r="BW13" s="622"/>
    </row>
    <row r="14" spans="1:75" x14ac:dyDescent="0.25">
      <c r="A14" s="640">
        <v>40</v>
      </c>
      <c r="B14" s="600" t="s">
        <v>915</v>
      </c>
      <c r="C14" s="574" t="s">
        <v>37</v>
      </c>
      <c r="D14" s="584" t="s">
        <v>297</v>
      </c>
      <c r="E14" s="576" t="s">
        <v>862</v>
      </c>
      <c r="F14" s="576" t="s">
        <v>781</v>
      </c>
      <c r="G14" s="578">
        <v>9743.5805896005604</v>
      </c>
      <c r="H14" s="579">
        <f t="shared" si="33"/>
        <v>1.8453751116667727</v>
      </c>
      <c r="I14" s="576" t="s">
        <v>1643</v>
      </c>
      <c r="J14" s="580"/>
      <c r="K14" s="580" t="s">
        <v>824</v>
      </c>
      <c r="L14" s="580"/>
      <c r="M14" s="580"/>
      <c r="N14" s="582" t="s">
        <v>262</v>
      </c>
      <c r="O14" s="581" t="s">
        <v>262</v>
      </c>
      <c r="P14" s="583" t="s">
        <v>670</v>
      </c>
      <c r="Q14" s="573" t="str">
        <f t="shared" si="1"/>
        <v>M59</v>
      </c>
      <c r="R14" s="657">
        <v>10</v>
      </c>
      <c r="S14" s="657">
        <v>845</v>
      </c>
      <c r="T14" s="655">
        <v>10</v>
      </c>
      <c r="U14" s="649">
        <v>0</v>
      </c>
      <c r="V14" s="652">
        <v>0.89</v>
      </c>
      <c r="W14" s="656">
        <v>0</v>
      </c>
      <c r="X14" s="654">
        <v>0</v>
      </c>
      <c r="Y14" s="655">
        <v>10</v>
      </c>
      <c r="Z14" s="655">
        <v>10</v>
      </c>
      <c r="AA14" s="654">
        <v>0</v>
      </c>
      <c r="AB14" s="655">
        <v>5</v>
      </c>
      <c r="AC14" s="655">
        <v>5</v>
      </c>
      <c r="AD14" s="655">
        <v>10</v>
      </c>
      <c r="AE14" s="654">
        <v>0</v>
      </c>
      <c r="AF14" s="659">
        <v>10</v>
      </c>
      <c r="AG14" s="655">
        <v>10</v>
      </c>
      <c r="AH14" s="654">
        <v>0</v>
      </c>
      <c r="AI14" s="656">
        <v>0</v>
      </c>
      <c r="AJ14" s="657">
        <v>5</v>
      </c>
      <c r="AK14" s="655">
        <v>10</v>
      </c>
      <c r="AL14" s="655">
        <v>10</v>
      </c>
      <c r="AM14" s="654">
        <v>0</v>
      </c>
      <c r="AN14" s="664">
        <f t="shared" si="2"/>
        <v>10</v>
      </c>
      <c r="AO14" s="664">
        <f t="shared" si="3"/>
        <v>1</v>
      </c>
      <c r="AP14" s="664">
        <f t="shared" si="4"/>
        <v>10</v>
      </c>
      <c r="AQ14" s="664">
        <f t="shared" si="5"/>
        <v>1</v>
      </c>
      <c r="AR14" s="664">
        <f t="shared" si="6"/>
        <v>6</v>
      </c>
      <c r="AS14" s="664">
        <f t="shared" si="7"/>
        <v>1</v>
      </c>
      <c r="AT14" s="664">
        <f t="shared" si="8"/>
        <v>1</v>
      </c>
      <c r="AU14" s="664">
        <f t="shared" si="9"/>
        <v>10</v>
      </c>
      <c r="AV14" s="664">
        <f t="shared" si="10"/>
        <v>10</v>
      </c>
      <c r="AW14" s="664">
        <f t="shared" si="11"/>
        <v>1</v>
      </c>
      <c r="AX14" s="664">
        <f t="shared" si="12"/>
        <v>5</v>
      </c>
      <c r="AY14" s="664">
        <f t="shared" si="13"/>
        <v>5</v>
      </c>
      <c r="AZ14" s="664">
        <f t="shared" si="14"/>
        <v>10</v>
      </c>
      <c r="BA14" s="664">
        <f t="shared" si="15"/>
        <v>1</v>
      </c>
      <c r="BB14" s="664">
        <f t="shared" si="16"/>
        <v>10</v>
      </c>
      <c r="BC14" s="664">
        <f t="shared" si="17"/>
        <v>10</v>
      </c>
      <c r="BD14" s="664">
        <f t="shared" si="18"/>
        <v>1</v>
      </c>
      <c r="BE14" s="664">
        <f t="shared" si="19"/>
        <v>1</v>
      </c>
      <c r="BF14" s="664">
        <f t="shared" si="20"/>
        <v>5</v>
      </c>
      <c r="BG14" s="664">
        <f t="shared" si="21"/>
        <v>10</v>
      </c>
      <c r="BH14" s="664">
        <f t="shared" si="22"/>
        <v>10</v>
      </c>
      <c r="BI14" s="1009">
        <f t="shared" si="23"/>
        <v>1</v>
      </c>
      <c r="BJ14" s="1020">
        <f t="shared" si="24"/>
        <v>14.7</v>
      </c>
      <c r="BK14" s="931">
        <f t="shared" si="25"/>
        <v>4.2666666666666666</v>
      </c>
      <c r="BL14" s="931">
        <f t="shared" si="26"/>
        <v>8.25</v>
      </c>
      <c r="BM14" s="931">
        <f t="shared" si="27"/>
        <v>8.6800000000000015</v>
      </c>
      <c r="BN14" s="931">
        <f t="shared" si="28"/>
        <v>9.8000000000000007</v>
      </c>
      <c r="BO14" s="931">
        <f t="shared" si="29"/>
        <v>2.3333333333333335</v>
      </c>
      <c r="BP14" s="1021">
        <f t="shared" si="30"/>
        <v>7.0000000000000009</v>
      </c>
      <c r="BQ14" s="1011">
        <f t="shared" si="31"/>
        <v>55.030000000000008</v>
      </c>
      <c r="BR14" s="668">
        <f t="shared" si="32"/>
        <v>11</v>
      </c>
      <c r="BS14" s="942">
        <v>19</v>
      </c>
      <c r="BT14" s="943" t="s">
        <v>284</v>
      </c>
      <c r="BU14" s="635" t="s">
        <v>1258</v>
      </c>
      <c r="BV14" s="1046" t="str">
        <f>VLOOKUP($B14,Tiers!$A:$K,11,FALSE)</f>
        <v>Tier 2</v>
      </c>
      <c r="BW14" s="622"/>
    </row>
    <row r="15" spans="1:75" x14ac:dyDescent="0.25">
      <c r="A15" s="640">
        <v>28</v>
      </c>
      <c r="B15" s="600" t="s">
        <v>906</v>
      </c>
      <c r="C15" s="574" t="s">
        <v>37</v>
      </c>
      <c r="D15" s="584" t="s">
        <v>315</v>
      </c>
      <c r="E15" s="576" t="s">
        <v>728</v>
      </c>
      <c r="F15" s="576" t="s">
        <v>732</v>
      </c>
      <c r="G15" s="578">
        <v>8245.2201573291004</v>
      </c>
      <c r="H15" s="579">
        <f t="shared" si="33"/>
        <v>1.5615947267668751</v>
      </c>
      <c r="I15" s="576" t="s">
        <v>1487</v>
      </c>
      <c r="J15" s="580" t="s">
        <v>824</v>
      </c>
      <c r="K15" s="580" t="s">
        <v>824</v>
      </c>
      <c r="L15" s="580"/>
      <c r="M15" s="580" t="s">
        <v>824</v>
      </c>
      <c r="N15" s="581">
        <v>2</v>
      </c>
      <c r="O15" s="581">
        <v>4</v>
      </c>
      <c r="P15" s="583" t="s">
        <v>779</v>
      </c>
      <c r="Q15" s="573" t="str">
        <f t="shared" si="1"/>
        <v>M48</v>
      </c>
      <c r="R15" s="656">
        <v>0</v>
      </c>
      <c r="S15" s="657">
        <v>2115</v>
      </c>
      <c r="T15" s="655">
        <v>10</v>
      </c>
      <c r="U15" s="649">
        <v>0</v>
      </c>
      <c r="V15" s="652">
        <v>1.42</v>
      </c>
      <c r="W15" s="658">
        <v>10</v>
      </c>
      <c r="X15" s="654">
        <v>0</v>
      </c>
      <c r="Y15" s="655">
        <v>10</v>
      </c>
      <c r="Z15" s="655">
        <v>10</v>
      </c>
      <c r="AA15" s="654">
        <v>0</v>
      </c>
      <c r="AB15" s="654">
        <v>0</v>
      </c>
      <c r="AC15" s="654">
        <v>0</v>
      </c>
      <c r="AD15" s="655">
        <v>10</v>
      </c>
      <c r="AE15" s="654">
        <v>0</v>
      </c>
      <c r="AF15" s="659">
        <v>10</v>
      </c>
      <c r="AG15" s="655">
        <v>10</v>
      </c>
      <c r="AH15" s="654">
        <v>0</v>
      </c>
      <c r="AI15" s="656">
        <v>0</v>
      </c>
      <c r="AJ15" s="657">
        <v>5</v>
      </c>
      <c r="AK15" s="655">
        <v>10</v>
      </c>
      <c r="AL15" s="655">
        <v>10</v>
      </c>
      <c r="AM15" s="654">
        <v>0</v>
      </c>
      <c r="AN15" s="664">
        <f t="shared" si="2"/>
        <v>1</v>
      </c>
      <c r="AO15" s="664">
        <f t="shared" si="3"/>
        <v>3</v>
      </c>
      <c r="AP15" s="664">
        <f t="shared" si="4"/>
        <v>10</v>
      </c>
      <c r="AQ15" s="664">
        <f t="shared" si="5"/>
        <v>1</v>
      </c>
      <c r="AR15" s="664">
        <f t="shared" si="6"/>
        <v>9</v>
      </c>
      <c r="AS15" s="664">
        <f t="shared" si="7"/>
        <v>10</v>
      </c>
      <c r="AT15" s="664">
        <f t="shared" si="8"/>
        <v>1</v>
      </c>
      <c r="AU15" s="664">
        <f t="shared" si="9"/>
        <v>10</v>
      </c>
      <c r="AV15" s="664">
        <f t="shared" si="10"/>
        <v>10</v>
      </c>
      <c r="AW15" s="664">
        <f t="shared" si="11"/>
        <v>1</v>
      </c>
      <c r="AX15" s="664">
        <f t="shared" si="12"/>
        <v>1</v>
      </c>
      <c r="AY15" s="664">
        <f t="shared" si="13"/>
        <v>1</v>
      </c>
      <c r="AZ15" s="664">
        <f t="shared" si="14"/>
        <v>10</v>
      </c>
      <c r="BA15" s="664">
        <f t="shared" si="15"/>
        <v>1</v>
      </c>
      <c r="BB15" s="664">
        <f t="shared" si="16"/>
        <v>10</v>
      </c>
      <c r="BC15" s="664">
        <f t="shared" si="17"/>
        <v>10</v>
      </c>
      <c r="BD15" s="664">
        <f t="shared" si="18"/>
        <v>1</v>
      </c>
      <c r="BE15" s="664">
        <f t="shared" si="19"/>
        <v>1</v>
      </c>
      <c r="BF15" s="664">
        <f t="shared" si="20"/>
        <v>5</v>
      </c>
      <c r="BG15" s="664">
        <f t="shared" si="21"/>
        <v>10</v>
      </c>
      <c r="BH15" s="664">
        <f t="shared" si="22"/>
        <v>10</v>
      </c>
      <c r="BI15" s="1009">
        <f t="shared" si="23"/>
        <v>1</v>
      </c>
      <c r="BJ15" s="1020">
        <f t="shared" si="24"/>
        <v>9.8000000000000007</v>
      </c>
      <c r="BK15" s="931">
        <f t="shared" si="25"/>
        <v>10.666666666666666</v>
      </c>
      <c r="BL15" s="931">
        <f t="shared" si="26"/>
        <v>8.25</v>
      </c>
      <c r="BM15" s="931">
        <f t="shared" si="27"/>
        <v>6.44</v>
      </c>
      <c r="BN15" s="931">
        <f t="shared" si="28"/>
        <v>9.8000000000000007</v>
      </c>
      <c r="BO15" s="931">
        <f t="shared" si="29"/>
        <v>2.3333333333333335</v>
      </c>
      <c r="BP15" s="1021">
        <f t="shared" si="30"/>
        <v>7.0000000000000009</v>
      </c>
      <c r="BQ15" s="1011">
        <f t="shared" si="31"/>
        <v>54.29</v>
      </c>
      <c r="BR15" s="668">
        <f t="shared" si="32"/>
        <v>12</v>
      </c>
      <c r="BS15" s="942">
        <v>12</v>
      </c>
      <c r="BT15" s="943" t="s">
        <v>275</v>
      </c>
      <c r="BU15" s="635" t="s">
        <v>1258</v>
      </c>
      <c r="BV15" s="1046" t="str">
        <f>VLOOKUP($B15,Tiers!$A:$K,11,FALSE)</f>
        <v>Tier 2</v>
      </c>
      <c r="BW15" s="622"/>
    </row>
    <row r="16" spans="1:75" x14ac:dyDescent="0.25">
      <c r="A16" s="640">
        <v>46</v>
      </c>
      <c r="B16" s="600" t="s">
        <v>921</v>
      </c>
      <c r="C16" s="574" t="s">
        <v>37</v>
      </c>
      <c r="D16" s="584" t="s">
        <v>969</v>
      </c>
      <c r="E16" s="576" t="s">
        <v>614</v>
      </c>
      <c r="F16" s="576" t="s">
        <v>728</v>
      </c>
      <c r="G16" s="578">
        <v>8060.3522345988304</v>
      </c>
      <c r="H16" s="579">
        <f t="shared" si="33"/>
        <v>1.5265818626134149</v>
      </c>
      <c r="I16" s="576" t="s">
        <v>1481</v>
      </c>
      <c r="J16" s="580" t="s">
        <v>824</v>
      </c>
      <c r="K16" s="580" t="s">
        <v>824</v>
      </c>
      <c r="L16" s="580" t="s">
        <v>824</v>
      </c>
      <c r="M16" s="580"/>
      <c r="N16" s="581">
        <v>2</v>
      </c>
      <c r="O16" s="581">
        <v>2</v>
      </c>
      <c r="P16" s="583" t="s">
        <v>670</v>
      </c>
      <c r="Q16" s="573" t="str">
        <f t="shared" si="1"/>
        <v>M65</v>
      </c>
      <c r="R16" s="656">
        <v>0</v>
      </c>
      <c r="S16" s="657">
        <v>1445</v>
      </c>
      <c r="T16" s="654">
        <v>0</v>
      </c>
      <c r="U16" s="649">
        <v>0</v>
      </c>
      <c r="V16" s="652">
        <v>0.99</v>
      </c>
      <c r="W16" s="658">
        <v>10</v>
      </c>
      <c r="X16" s="654">
        <v>0</v>
      </c>
      <c r="Y16" s="655">
        <v>10</v>
      </c>
      <c r="Z16" s="655">
        <v>10</v>
      </c>
      <c r="AA16" s="654">
        <v>0</v>
      </c>
      <c r="AB16" s="654">
        <v>0</v>
      </c>
      <c r="AC16" s="655">
        <v>5</v>
      </c>
      <c r="AD16" s="655">
        <v>10</v>
      </c>
      <c r="AE16" s="655">
        <v>10</v>
      </c>
      <c r="AF16" s="659">
        <v>10</v>
      </c>
      <c r="AG16" s="655">
        <v>10</v>
      </c>
      <c r="AH16" s="655">
        <v>10</v>
      </c>
      <c r="AI16" s="656">
        <v>0</v>
      </c>
      <c r="AJ16" s="657">
        <v>5</v>
      </c>
      <c r="AK16" s="655">
        <v>10</v>
      </c>
      <c r="AL16" s="655">
        <v>10</v>
      </c>
      <c r="AM16" s="654">
        <v>0</v>
      </c>
      <c r="AN16" s="664">
        <f t="shared" si="2"/>
        <v>1</v>
      </c>
      <c r="AO16" s="664">
        <f t="shared" si="3"/>
        <v>2</v>
      </c>
      <c r="AP16" s="664">
        <f t="shared" si="4"/>
        <v>1</v>
      </c>
      <c r="AQ16" s="664">
        <f t="shared" si="5"/>
        <v>1</v>
      </c>
      <c r="AR16" s="664">
        <f t="shared" si="6"/>
        <v>6</v>
      </c>
      <c r="AS16" s="664">
        <f t="shared" si="7"/>
        <v>10</v>
      </c>
      <c r="AT16" s="664">
        <f t="shared" si="8"/>
        <v>1</v>
      </c>
      <c r="AU16" s="664">
        <f t="shared" si="9"/>
        <v>10</v>
      </c>
      <c r="AV16" s="664">
        <f t="shared" si="10"/>
        <v>10</v>
      </c>
      <c r="AW16" s="664">
        <f t="shared" si="11"/>
        <v>1</v>
      </c>
      <c r="AX16" s="664">
        <f t="shared" si="12"/>
        <v>1</v>
      </c>
      <c r="AY16" s="664">
        <f t="shared" si="13"/>
        <v>5</v>
      </c>
      <c r="AZ16" s="664">
        <f t="shared" si="14"/>
        <v>10</v>
      </c>
      <c r="BA16" s="664">
        <f t="shared" si="15"/>
        <v>10</v>
      </c>
      <c r="BB16" s="664">
        <f t="shared" si="16"/>
        <v>10</v>
      </c>
      <c r="BC16" s="664">
        <f t="shared" si="17"/>
        <v>10</v>
      </c>
      <c r="BD16" s="664">
        <f t="shared" si="18"/>
        <v>10</v>
      </c>
      <c r="BE16" s="664">
        <f t="shared" si="19"/>
        <v>1</v>
      </c>
      <c r="BF16" s="664">
        <f t="shared" si="20"/>
        <v>5</v>
      </c>
      <c r="BG16" s="664">
        <f t="shared" si="21"/>
        <v>10</v>
      </c>
      <c r="BH16" s="664">
        <f t="shared" si="22"/>
        <v>10</v>
      </c>
      <c r="BI16" s="1009">
        <f t="shared" si="23"/>
        <v>1</v>
      </c>
      <c r="BJ16" s="1020">
        <f t="shared" si="24"/>
        <v>2.8</v>
      </c>
      <c r="BK16" s="931">
        <f t="shared" si="25"/>
        <v>9.0666666666666664</v>
      </c>
      <c r="BL16" s="931">
        <f t="shared" si="26"/>
        <v>8.25</v>
      </c>
      <c r="BM16" s="931">
        <f t="shared" si="27"/>
        <v>7.5600000000000014</v>
      </c>
      <c r="BN16" s="931">
        <f t="shared" si="28"/>
        <v>14.000000000000002</v>
      </c>
      <c r="BO16" s="931">
        <f t="shared" si="29"/>
        <v>5.333333333333333</v>
      </c>
      <c r="BP16" s="1021">
        <f t="shared" si="30"/>
        <v>7.0000000000000009</v>
      </c>
      <c r="BQ16" s="1011">
        <f t="shared" si="31"/>
        <v>54.010000000000005</v>
      </c>
      <c r="BR16" s="668">
        <f t="shared" si="32"/>
        <v>13</v>
      </c>
      <c r="BS16" s="942">
        <v>30</v>
      </c>
      <c r="BT16" s="943" t="s">
        <v>272</v>
      </c>
      <c r="BU16" s="635" t="s">
        <v>1258</v>
      </c>
      <c r="BV16" s="1046" t="str">
        <f>VLOOKUP($B16,Tiers!$A:$K,11,FALSE)</f>
        <v>Tier 4</v>
      </c>
      <c r="BW16" s="622"/>
    </row>
    <row r="17" spans="1:75" ht="13.8" x14ac:dyDescent="0.3">
      <c r="A17" s="640">
        <v>104</v>
      </c>
      <c r="B17" s="600" t="s">
        <v>940</v>
      </c>
      <c r="C17" s="574" t="s">
        <v>360</v>
      </c>
      <c r="D17" s="32" t="s">
        <v>1277</v>
      </c>
      <c r="E17" s="576" t="s">
        <v>1278</v>
      </c>
      <c r="F17" s="576" t="s">
        <v>1279</v>
      </c>
      <c r="G17" s="671">
        <v>0</v>
      </c>
      <c r="H17" s="672">
        <f t="shared" si="33"/>
        <v>0</v>
      </c>
      <c r="I17" s="576" t="s">
        <v>573</v>
      </c>
      <c r="J17" s="580" t="s">
        <v>824</v>
      </c>
      <c r="K17" s="580" t="s">
        <v>824</v>
      </c>
      <c r="L17" s="580" t="s">
        <v>824</v>
      </c>
      <c r="M17" s="580" t="s">
        <v>824</v>
      </c>
      <c r="N17" s="581" t="s">
        <v>262</v>
      </c>
      <c r="O17" s="581" t="s">
        <v>262</v>
      </c>
      <c r="P17" s="583" t="s">
        <v>670</v>
      </c>
      <c r="Q17" s="573" t="str">
        <f t="shared" si="1"/>
        <v>C4</v>
      </c>
      <c r="R17" s="658">
        <v>1</v>
      </c>
      <c r="S17" s="656">
        <v>0</v>
      </c>
      <c r="T17" s="659">
        <v>1</v>
      </c>
      <c r="U17" s="653">
        <v>2.1</v>
      </c>
      <c r="V17" s="653">
        <v>0.89</v>
      </c>
      <c r="W17" s="658">
        <v>1</v>
      </c>
      <c r="X17" s="659">
        <v>10</v>
      </c>
      <c r="Y17" s="659">
        <v>10</v>
      </c>
      <c r="Z17" s="659">
        <v>10</v>
      </c>
      <c r="AA17" s="659">
        <v>5</v>
      </c>
      <c r="AB17" s="659">
        <v>10</v>
      </c>
      <c r="AC17" s="659">
        <v>10</v>
      </c>
      <c r="AD17" s="659">
        <v>5</v>
      </c>
      <c r="AE17" s="659">
        <v>10</v>
      </c>
      <c r="AF17" s="659">
        <v>1</v>
      </c>
      <c r="AG17" s="659">
        <v>10</v>
      </c>
      <c r="AH17" s="659">
        <v>5</v>
      </c>
      <c r="AI17" s="658">
        <v>5</v>
      </c>
      <c r="AJ17" s="658">
        <v>5</v>
      </c>
      <c r="AK17" s="654">
        <v>0</v>
      </c>
      <c r="AL17" s="654">
        <v>0</v>
      </c>
      <c r="AM17" s="659">
        <v>10</v>
      </c>
      <c r="AN17" s="664">
        <f t="shared" si="2"/>
        <v>1</v>
      </c>
      <c r="AO17" s="664">
        <f t="shared" si="3"/>
        <v>1</v>
      </c>
      <c r="AP17" s="664">
        <f t="shared" si="4"/>
        <v>1</v>
      </c>
      <c r="AQ17" s="664">
        <f t="shared" si="5"/>
        <v>5</v>
      </c>
      <c r="AR17" s="664">
        <f t="shared" si="6"/>
        <v>6</v>
      </c>
      <c r="AS17" s="664">
        <f t="shared" si="7"/>
        <v>1</v>
      </c>
      <c r="AT17" s="664">
        <f t="shared" si="8"/>
        <v>10</v>
      </c>
      <c r="AU17" s="664">
        <f t="shared" si="9"/>
        <v>10</v>
      </c>
      <c r="AV17" s="664">
        <f t="shared" si="10"/>
        <v>10</v>
      </c>
      <c r="AW17" s="664">
        <f t="shared" si="11"/>
        <v>5</v>
      </c>
      <c r="AX17" s="664">
        <f t="shared" si="12"/>
        <v>10</v>
      </c>
      <c r="AY17" s="664">
        <f t="shared" si="13"/>
        <v>10</v>
      </c>
      <c r="AZ17" s="664">
        <f t="shared" si="14"/>
        <v>5</v>
      </c>
      <c r="BA17" s="664">
        <f t="shared" si="15"/>
        <v>10</v>
      </c>
      <c r="BB17" s="664">
        <f t="shared" si="16"/>
        <v>1</v>
      </c>
      <c r="BC17" s="664">
        <f t="shared" si="17"/>
        <v>10</v>
      </c>
      <c r="BD17" s="664">
        <f t="shared" si="18"/>
        <v>5</v>
      </c>
      <c r="BE17" s="664">
        <f t="shared" si="19"/>
        <v>5</v>
      </c>
      <c r="BF17" s="664">
        <f t="shared" si="20"/>
        <v>5</v>
      </c>
      <c r="BG17" s="664">
        <f t="shared" si="21"/>
        <v>1</v>
      </c>
      <c r="BH17" s="664">
        <f t="shared" si="22"/>
        <v>1</v>
      </c>
      <c r="BI17" s="1009">
        <f t="shared" si="23"/>
        <v>10</v>
      </c>
      <c r="BJ17" s="1020">
        <f t="shared" si="24"/>
        <v>2.1</v>
      </c>
      <c r="BK17" s="931">
        <f t="shared" si="25"/>
        <v>6.4</v>
      </c>
      <c r="BL17" s="931">
        <f t="shared" si="26"/>
        <v>15</v>
      </c>
      <c r="BM17" s="931">
        <f t="shared" si="27"/>
        <v>11.200000000000001</v>
      </c>
      <c r="BN17" s="931">
        <f t="shared" si="28"/>
        <v>9.8000000000000007</v>
      </c>
      <c r="BO17" s="931">
        <f t="shared" si="29"/>
        <v>5</v>
      </c>
      <c r="BP17" s="1021">
        <f t="shared" si="30"/>
        <v>4</v>
      </c>
      <c r="BQ17" s="1011">
        <f t="shared" si="31"/>
        <v>53.5</v>
      </c>
      <c r="BR17" s="668">
        <f t="shared" si="32"/>
        <v>14</v>
      </c>
      <c r="BS17" s="944" t="s">
        <v>376</v>
      </c>
      <c r="BT17" s="941" t="s">
        <v>376</v>
      </c>
      <c r="BU17" s="635" t="s">
        <v>1258</v>
      </c>
      <c r="BV17" s="1045" t="e">
        <f>VLOOKUP($B17,Tiers!$A:$K,11,FALSE)</f>
        <v>#N/A</v>
      </c>
      <c r="BW17" s="670" t="s">
        <v>1416</v>
      </c>
    </row>
    <row r="18" spans="1:75" x14ac:dyDescent="0.25">
      <c r="A18" s="641">
        <v>44</v>
      </c>
      <c r="B18" s="600" t="s">
        <v>919</v>
      </c>
      <c r="C18" s="574" t="s">
        <v>37</v>
      </c>
      <c r="D18" s="584" t="s">
        <v>1084</v>
      </c>
      <c r="E18" s="576" t="s">
        <v>794</v>
      </c>
      <c r="F18" s="576" t="s">
        <v>656</v>
      </c>
      <c r="G18" s="578">
        <v>6550.4200071493196</v>
      </c>
      <c r="H18" s="579">
        <f t="shared" si="33"/>
        <v>1.2406098498388862</v>
      </c>
      <c r="I18" s="576" t="s">
        <v>1481</v>
      </c>
      <c r="J18" s="580"/>
      <c r="K18" s="580" t="s">
        <v>824</v>
      </c>
      <c r="L18" s="580" t="s">
        <v>824</v>
      </c>
      <c r="M18" s="580" t="s">
        <v>824</v>
      </c>
      <c r="N18" s="581">
        <v>2</v>
      </c>
      <c r="O18" s="581">
        <v>2</v>
      </c>
      <c r="P18" s="583" t="s">
        <v>670</v>
      </c>
      <c r="Q18" s="573" t="str">
        <f t="shared" si="1"/>
        <v>M63</v>
      </c>
      <c r="R18" s="656">
        <v>0</v>
      </c>
      <c r="S18" s="657">
        <v>1555</v>
      </c>
      <c r="T18" s="655">
        <v>10</v>
      </c>
      <c r="U18" s="651">
        <v>0</v>
      </c>
      <c r="V18" s="652">
        <v>1.1200000000000001</v>
      </c>
      <c r="W18" s="656">
        <v>0</v>
      </c>
      <c r="X18" s="654">
        <v>0</v>
      </c>
      <c r="Y18" s="655">
        <v>10</v>
      </c>
      <c r="Z18" s="655">
        <v>10</v>
      </c>
      <c r="AA18" s="654">
        <v>0</v>
      </c>
      <c r="AB18" s="655">
        <v>5</v>
      </c>
      <c r="AC18" s="655">
        <v>5</v>
      </c>
      <c r="AD18" s="655">
        <v>10</v>
      </c>
      <c r="AE18" s="655">
        <v>10</v>
      </c>
      <c r="AF18" s="659">
        <v>10</v>
      </c>
      <c r="AG18" s="655">
        <v>10</v>
      </c>
      <c r="AH18" s="654">
        <v>0</v>
      </c>
      <c r="AI18" s="656">
        <v>0</v>
      </c>
      <c r="AJ18" s="657">
        <v>4</v>
      </c>
      <c r="AK18" s="655">
        <v>10</v>
      </c>
      <c r="AL18" s="655">
        <v>10</v>
      </c>
      <c r="AM18" s="654">
        <v>0</v>
      </c>
      <c r="AN18" s="664">
        <f t="shared" si="2"/>
        <v>1</v>
      </c>
      <c r="AO18" s="664">
        <f t="shared" si="3"/>
        <v>2</v>
      </c>
      <c r="AP18" s="664">
        <f t="shared" si="4"/>
        <v>10</v>
      </c>
      <c r="AQ18" s="664">
        <f t="shared" si="5"/>
        <v>1</v>
      </c>
      <c r="AR18" s="664">
        <f t="shared" si="6"/>
        <v>7</v>
      </c>
      <c r="AS18" s="664">
        <f t="shared" si="7"/>
        <v>1</v>
      </c>
      <c r="AT18" s="664">
        <f t="shared" si="8"/>
        <v>1</v>
      </c>
      <c r="AU18" s="664">
        <f t="shared" si="9"/>
        <v>10</v>
      </c>
      <c r="AV18" s="664">
        <f t="shared" si="10"/>
        <v>10</v>
      </c>
      <c r="AW18" s="664">
        <f t="shared" si="11"/>
        <v>1</v>
      </c>
      <c r="AX18" s="664">
        <f t="shared" si="12"/>
        <v>5</v>
      </c>
      <c r="AY18" s="664">
        <f t="shared" si="13"/>
        <v>5</v>
      </c>
      <c r="AZ18" s="664">
        <f t="shared" si="14"/>
        <v>10</v>
      </c>
      <c r="BA18" s="664">
        <f t="shared" si="15"/>
        <v>10</v>
      </c>
      <c r="BB18" s="664">
        <f t="shared" si="16"/>
        <v>10</v>
      </c>
      <c r="BC18" s="664">
        <f t="shared" si="17"/>
        <v>10</v>
      </c>
      <c r="BD18" s="664">
        <f t="shared" si="18"/>
        <v>1</v>
      </c>
      <c r="BE18" s="664">
        <f t="shared" si="19"/>
        <v>1</v>
      </c>
      <c r="BF18" s="664">
        <f t="shared" si="20"/>
        <v>3</v>
      </c>
      <c r="BG18" s="664">
        <f t="shared" si="21"/>
        <v>10</v>
      </c>
      <c r="BH18" s="664">
        <f t="shared" si="22"/>
        <v>10</v>
      </c>
      <c r="BI18" s="1009">
        <f t="shared" si="23"/>
        <v>1</v>
      </c>
      <c r="BJ18" s="1020">
        <f t="shared" si="24"/>
        <v>9.1</v>
      </c>
      <c r="BK18" s="931">
        <f t="shared" si="25"/>
        <v>4.8</v>
      </c>
      <c r="BL18" s="931">
        <f t="shared" si="26"/>
        <v>8.25</v>
      </c>
      <c r="BM18" s="931">
        <f t="shared" si="27"/>
        <v>8.6800000000000015</v>
      </c>
      <c r="BN18" s="931">
        <f t="shared" si="28"/>
        <v>14.000000000000002</v>
      </c>
      <c r="BO18" s="931">
        <f t="shared" si="29"/>
        <v>1.666666666666667</v>
      </c>
      <c r="BP18" s="1021">
        <f t="shared" si="30"/>
        <v>7.0000000000000009</v>
      </c>
      <c r="BQ18" s="1011">
        <f t="shared" si="31"/>
        <v>53.496666666666663</v>
      </c>
      <c r="BR18" s="668">
        <f t="shared" si="32"/>
        <v>15</v>
      </c>
      <c r="BS18" s="942">
        <v>20</v>
      </c>
      <c r="BT18" s="943" t="s">
        <v>272</v>
      </c>
      <c r="BU18" s="635" t="s">
        <v>1258</v>
      </c>
      <c r="BV18" s="1046" t="str">
        <f>VLOOKUP($B18,Tiers!$A:$K,11,FALSE)</f>
        <v>Tier 2</v>
      </c>
      <c r="BW18" s="622"/>
    </row>
    <row r="19" spans="1:75" ht="13.8" x14ac:dyDescent="0.3">
      <c r="A19" s="641">
        <v>20</v>
      </c>
      <c r="B19" s="574" t="s">
        <v>1123</v>
      </c>
      <c r="C19" s="574" t="s">
        <v>197</v>
      </c>
      <c r="D19" s="35" t="s">
        <v>1378</v>
      </c>
      <c r="E19" s="576" t="s">
        <v>1377</v>
      </c>
      <c r="F19" s="576" t="s">
        <v>1004</v>
      </c>
      <c r="G19" s="577">
        <v>1</v>
      </c>
      <c r="H19" s="577">
        <v>1</v>
      </c>
      <c r="I19" s="577" t="s">
        <v>1646</v>
      </c>
      <c r="J19" s="276" t="s">
        <v>824</v>
      </c>
      <c r="K19" s="276" t="s">
        <v>824</v>
      </c>
      <c r="L19" s="276" t="s">
        <v>824</v>
      </c>
      <c r="M19" s="276" t="s">
        <v>824</v>
      </c>
      <c r="N19" s="580"/>
      <c r="O19" s="580"/>
      <c r="P19" s="580" t="s">
        <v>670</v>
      </c>
      <c r="Q19" s="573" t="str">
        <f t="shared" si="1"/>
        <v>M22</v>
      </c>
      <c r="R19" s="656">
        <v>0</v>
      </c>
      <c r="S19" s="657">
        <v>1040</v>
      </c>
      <c r="T19" s="654">
        <v>0</v>
      </c>
      <c r="U19" s="650">
        <v>2.12</v>
      </c>
      <c r="V19" s="652">
        <v>1.35</v>
      </c>
      <c r="W19" s="658">
        <v>10</v>
      </c>
      <c r="X19" s="655">
        <v>10</v>
      </c>
      <c r="Y19" s="655">
        <v>10</v>
      </c>
      <c r="Z19" s="655">
        <v>10</v>
      </c>
      <c r="AA19" s="655">
        <v>5</v>
      </c>
      <c r="AB19" s="654">
        <v>0</v>
      </c>
      <c r="AC19" s="655">
        <v>5</v>
      </c>
      <c r="AD19" s="654">
        <v>0</v>
      </c>
      <c r="AE19" s="655">
        <v>10</v>
      </c>
      <c r="AF19" s="654">
        <v>0</v>
      </c>
      <c r="AG19" s="655">
        <v>5</v>
      </c>
      <c r="AH19" s="655">
        <v>5</v>
      </c>
      <c r="AI19" s="656">
        <v>0</v>
      </c>
      <c r="AJ19" s="657">
        <v>3</v>
      </c>
      <c r="AK19" s="655">
        <v>10</v>
      </c>
      <c r="AL19" s="655">
        <v>10</v>
      </c>
      <c r="AM19" s="654">
        <v>0</v>
      </c>
      <c r="AN19" s="664">
        <f t="shared" si="2"/>
        <v>1</v>
      </c>
      <c r="AO19" s="664">
        <f t="shared" si="3"/>
        <v>1</v>
      </c>
      <c r="AP19" s="664">
        <f t="shared" si="4"/>
        <v>1</v>
      </c>
      <c r="AQ19" s="664">
        <f t="shared" si="5"/>
        <v>5</v>
      </c>
      <c r="AR19" s="664">
        <f t="shared" si="6"/>
        <v>9</v>
      </c>
      <c r="AS19" s="664">
        <f t="shared" si="7"/>
        <v>10</v>
      </c>
      <c r="AT19" s="664">
        <f t="shared" si="8"/>
        <v>10</v>
      </c>
      <c r="AU19" s="664">
        <f t="shared" si="9"/>
        <v>10</v>
      </c>
      <c r="AV19" s="664">
        <f t="shared" si="10"/>
        <v>10</v>
      </c>
      <c r="AW19" s="664">
        <f t="shared" si="11"/>
        <v>5</v>
      </c>
      <c r="AX19" s="664">
        <f t="shared" si="12"/>
        <v>1</v>
      </c>
      <c r="AY19" s="664">
        <f t="shared" si="13"/>
        <v>5</v>
      </c>
      <c r="AZ19" s="664">
        <f t="shared" si="14"/>
        <v>1</v>
      </c>
      <c r="BA19" s="664">
        <f t="shared" si="15"/>
        <v>10</v>
      </c>
      <c r="BB19" s="664">
        <f t="shared" si="16"/>
        <v>1</v>
      </c>
      <c r="BC19" s="664">
        <f t="shared" si="17"/>
        <v>5</v>
      </c>
      <c r="BD19" s="664">
        <f t="shared" si="18"/>
        <v>5</v>
      </c>
      <c r="BE19" s="664">
        <f t="shared" si="19"/>
        <v>1</v>
      </c>
      <c r="BF19" s="664">
        <f t="shared" si="20"/>
        <v>1</v>
      </c>
      <c r="BG19" s="664">
        <f t="shared" si="21"/>
        <v>10</v>
      </c>
      <c r="BH19" s="664">
        <f t="shared" si="22"/>
        <v>10</v>
      </c>
      <c r="BI19" s="1009">
        <f t="shared" si="23"/>
        <v>1</v>
      </c>
      <c r="BJ19" s="1020">
        <f t="shared" si="24"/>
        <v>2.1</v>
      </c>
      <c r="BK19" s="931">
        <f t="shared" si="25"/>
        <v>12.8</v>
      </c>
      <c r="BL19" s="931">
        <f t="shared" si="26"/>
        <v>15</v>
      </c>
      <c r="BM19" s="931">
        <f t="shared" si="27"/>
        <v>6.160000000000001</v>
      </c>
      <c r="BN19" s="931">
        <f t="shared" si="28"/>
        <v>7.4666666666666668</v>
      </c>
      <c r="BO19" s="931">
        <f t="shared" si="29"/>
        <v>2.3333333333333335</v>
      </c>
      <c r="BP19" s="1021">
        <f t="shared" si="30"/>
        <v>7.0000000000000009</v>
      </c>
      <c r="BQ19" s="1011">
        <f t="shared" si="31"/>
        <v>52.860000000000007</v>
      </c>
      <c r="BR19" s="668">
        <f t="shared" si="32"/>
        <v>16</v>
      </c>
      <c r="BS19" s="944" t="s">
        <v>376</v>
      </c>
      <c r="BT19" s="941" t="s">
        <v>376</v>
      </c>
      <c r="BU19" s="635" t="s">
        <v>1258</v>
      </c>
      <c r="BV19" s="1045" t="str">
        <f>VLOOKUP($B19,Tiers!$A:$K,11,FALSE)</f>
        <v>Tier 2</v>
      </c>
      <c r="BW19" s="670"/>
    </row>
    <row r="20" spans="1:75" x14ac:dyDescent="0.25">
      <c r="A20" s="641">
        <v>23</v>
      </c>
      <c r="B20" s="574" t="s">
        <v>1126</v>
      </c>
      <c r="C20" s="574" t="s">
        <v>197</v>
      </c>
      <c r="D20" s="889" t="s">
        <v>1373</v>
      </c>
      <c r="E20" s="576" t="s">
        <v>1374</v>
      </c>
      <c r="F20" s="576" t="s">
        <v>794</v>
      </c>
      <c r="G20" s="889">
        <v>1</v>
      </c>
      <c r="H20" s="889">
        <v>1</v>
      </c>
      <c r="I20" s="889" t="s">
        <v>1646</v>
      </c>
      <c r="J20" s="276" t="s">
        <v>824</v>
      </c>
      <c r="K20" s="276" t="s">
        <v>824</v>
      </c>
      <c r="L20" s="276" t="s">
        <v>824</v>
      </c>
      <c r="M20" s="276"/>
      <c r="N20" s="580"/>
      <c r="O20" s="580"/>
      <c r="P20" s="580" t="s">
        <v>670</v>
      </c>
      <c r="Q20" s="573" t="str">
        <f t="shared" si="1"/>
        <v>M25</v>
      </c>
      <c r="R20" s="656">
        <v>0</v>
      </c>
      <c r="S20" s="658">
        <v>2765</v>
      </c>
      <c r="T20" s="659">
        <v>10</v>
      </c>
      <c r="U20" s="675">
        <v>2.1</v>
      </c>
      <c r="V20" s="653">
        <v>0.54</v>
      </c>
      <c r="W20" s="658">
        <v>10</v>
      </c>
      <c r="X20" s="654">
        <v>0</v>
      </c>
      <c r="Y20" s="659">
        <v>10</v>
      </c>
      <c r="Z20" s="659">
        <v>10</v>
      </c>
      <c r="AA20" s="659">
        <v>10</v>
      </c>
      <c r="AB20" s="659">
        <v>5</v>
      </c>
      <c r="AC20" s="659">
        <v>10</v>
      </c>
      <c r="AD20" s="654">
        <v>0</v>
      </c>
      <c r="AE20" s="659">
        <v>5</v>
      </c>
      <c r="AF20" s="654">
        <v>0</v>
      </c>
      <c r="AG20" s="659">
        <v>5</v>
      </c>
      <c r="AH20" s="659">
        <v>5</v>
      </c>
      <c r="AI20" s="658">
        <v>10</v>
      </c>
      <c r="AJ20" s="658">
        <v>3</v>
      </c>
      <c r="AK20" s="659">
        <v>5</v>
      </c>
      <c r="AL20" s="659">
        <v>5</v>
      </c>
      <c r="AM20" s="654">
        <v>0</v>
      </c>
      <c r="AN20" s="664">
        <f t="shared" si="2"/>
        <v>1</v>
      </c>
      <c r="AO20" s="664">
        <f t="shared" si="3"/>
        <v>4</v>
      </c>
      <c r="AP20" s="664">
        <f t="shared" si="4"/>
        <v>10</v>
      </c>
      <c r="AQ20" s="664">
        <f t="shared" si="5"/>
        <v>5</v>
      </c>
      <c r="AR20" s="664">
        <f t="shared" si="6"/>
        <v>3</v>
      </c>
      <c r="AS20" s="664">
        <f t="shared" si="7"/>
        <v>10</v>
      </c>
      <c r="AT20" s="664">
        <f t="shared" si="8"/>
        <v>1</v>
      </c>
      <c r="AU20" s="664">
        <f t="shared" si="9"/>
        <v>10</v>
      </c>
      <c r="AV20" s="664">
        <f t="shared" si="10"/>
        <v>10</v>
      </c>
      <c r="AW20" s="664">
        <f t="shared" si="11"/>
        <v>10</v>
      </c>
      <c r="AX20" s="664">
        <f t="shared" si="12"/>
        <v>5</v>
      </c>
      <c r="AY20" s="664">
        <f t="shared" si="13"/>
        <v>10</v>
      </c>
      <c r="AZ20" s="664">
        <f t="shared" si="14"/>
        <v>1</v>
      </c>
      <c r="BA20" s="664">
        <f t="shared" si="15"/>
        <v>5</v>
      </c>
      <c r="BB20" s="664">
        <f t="shared" si="16"/>
        <v>1</v>
      </c>
      <c r="BC20" s="664">
        <f t="shared" si="17"/>
        <v>5</v>
      </c>
      <c r="BD20" s="664">
        <f t="shared" si="18"/>
        <v>5</v>
      </c>
      <c r="BE20" s="664">
        <f t="shared" si="19"/>
        <v>10</v>
      </c>
      <c r="BF20" s="664">
        <f t="shared" si="20"/>
        <v>1</v>
      </c>
      <c r="BG20" s="664">
        <f t="shared" si="21"/>
        <v>5</v>
      </c>
      <c r="BH20" s="664">
        <f t="shared" si="22"/>
        <v>5</v>
      </c>
      <c r="BI20" s="1009">
        <f t="shared" si="23"/>
        <v>1</v>
      </c>
      <c r="BJ20" s="1020">
        <f t="shared" si="24"/>
        <v>10.5</v>
      </c>
      <c r="BK20" s="931">
        <f t="shared" si="25"/>
        <v>9.6</v>
      </c>
      <c r="BL20" s="931">
        <f t="shared" si="26"/>
        <v>8.25</v>
      </c>
      <c r="BM20" s="931">
        <f t="shared" si="27"/>
        <v>10.080000000000002</v>
      </c>
      <c r="BN20" s="931">
        <f t="shared" si="28"/>
        <v>5.1333333333333329</v>
      </c>
      <c r="BO20" s="931">
        <f t="shared" si="29"/>
        <v>5.333333333333333</v>
      </c>
      <c r="BP20" s="1021">
        <f t="shared" si="30"/>
        <v>3.666666666666667</v>
      </c>
      <c r="BQ20" s="1011">
        <f t="shared" si="31"/>
        <v>52.56333333333334</v>
      </c>
      <c r="BR20" s="668">
        <f t="shared" si="32"/>
        <v>17</v>
      </c>
      <c r="BS20" s="944" t="s">
        <v>376</v>
      </c>
      <c r="BT20" s="941"/>
      <c r="BU20" s="635" t="s">
        <v>1258</v>
      </c>
      <c r="BV20" s="1045" t="str">
        <f>VLOOKUP($B20,Tiers!$A:$K,11,FALSE)</f>
        <v>Tier 2</v>
      </c>
      <c r="BW20" s="670"/>
    </row>
    <row r="21" spans="1:75" x14ac:dyDescent="0.25">
      <c r="A21" s="641">
        <v>41</v>
      </c>
      <c r="B21" s="600" t="s">
        <v>916</v>
      </c>
      <c r="C21" s="574" t="s">
        <v>37</v>
      </c>
      <c r="D21" s="584" t="s">
        <v>295</v>
      </c>
      <c r="E21" s="576" t="s">
        <v>781</v>
      </c>
      <c r="F21" s="576" t="s">
        <v>1634</v>
      </c>
      <c r="G21" s="1083">
        <v>8401.4732170105999</v>
      </c>
      <c r="H21" s="579">
        <f>G21/5280</f>
        <v>1.5911881092823106</v>
      </c>
      <c r="I21" s="576" t="s">
        <v>1487</v>
      </c>
      <c r="J21" s="580" t="s">
        <v>824</v>
      </c>
      <c r="K21" s="580"/>
      <c r="L21" s="580" t="s">
        <v>824</v>
      </c>
      <c r="M21" s="580"/>
      <c r="N21" s="581">
        <v>3</v>
      </c>
      <c r="O21" s="581">
        <v>4</v>
      </c>
      <c r="P21" s="583" t="s">
        <v>779</v>
      </c>
      <c r="Q21" s="573" t="str">
        <f t="shared" si="1"/>
        <v>M60</v>
      </c>
      <c r="R21" s="656">
        <v>0</v>
      </c>
      <c r="S21" s="657">
        <v>7160</v>
      </c>
      <c r="T21" s="655">
        <v>10</v>
      </c>
      <c r="U21" s="650">
        <v>1.3</v>
      </c>
      <c r="V21" s="652">
        <v>0.8</v>
      </c>
      <c r="W21" s="656">
        <v>0</v>
      </c>
      <c r="X21" s="655">
        <v>10</v>
      </c>
      <c r="Y21" s="654">
        <v>0</v>
      </c>
      <c r="Z21" s="655">
        <v>10</v>
      </c>
      <c r="AA21" s="654">
        <v>0</v>
      </c>
      <c r="AB21" s="655">
        <v>5</v>
      </c>
      <c r="AC21" s="655">
        <v>5</v>
      </c>
      <c r="AD21" s="654">
        <v>0</v>
      </c>
      <c r="AE21" s="654">
        <v>0</v>
      </c>
      <c r="AF21" s="659">
        <v>10</v>
      </c>
      <c r="AG21" s="655">
        <v>10</v>
      </c>
      <c r="AH21" s="656">
        <v>0</v>
      </c>
      <c r="AI21" s="656">
        <v>0</v>
      </c>
      <c r="AJ21" s="657">
        <v>5</v>
      </c>
      <c r="AK21" s="657">
        <v>10</v>
      </c>
      <c r="AL21" s="657">
        <v>10</v>
      </c>
      <c r="AM21" s="654">
        <v>0</v>
      </c>
      <c r="AN21" s="664">
        <f t="shared" si="2"/>
        <v>1</v>
      </c>
      <c r="AO21" s="664">
        <f t="shared" si="3"/>
        <v>9</v>
      </c>
      <c r="AP21" s="664">
        <f t="shared" si="4"/>
        <v>10</v>
      </c>
      <c r="AQ21" s="664">
        <f t="shared" si="5"/>
        <v>3</v>
      </c>
      <c r="AR21" s="664">
        <f t="shared" si="6"/>
        <v>5</v>
      </c>
      <c r="AS21" s="664">
        <f t="shared" si="7"/>
        <v>1</v>
      </c>
      <c r="AT21" s="664">
        <f t="shared" si="8"/>
        <v>10</v>
      </c>
      <c r="AU21" s="664">
        <f t="shared" si="9"/>
        <v>1</v>
      </c>
      <c r="AV21" s="664">
        <f t="shared" si="10"/>
        <v>10</v>
      </c>
      <c r="AW21" s="664">
        <f t="shared" si="11"/>
        <v>1</v>
      </c>
      <c r="AX21" s="664">
        <f t="shared" si="12"/>
        <v>5</v>
      </c>
      <c r="AY21" s="664">
        <f t="shared" si="13"/>
        <v>5</v>
      </c>
      <c r="AZ21" s="664">
        <f t="shared" si="14"/>
        <v>1</v>
      </c>
      <c r="BA21" s="664">
        <f t="shared" si="15"/>
        <v>1</v>
      </c>
      <c r="BB21" s="664">
        <f t="shared" si="16"/>
        <v>10</v>
      </c>
      <c r="BC21" s="664">
        <f t="shared" si="17"/>
        <v>10</v>
      </c>
      <c r="BD21" s="664">
        <f t="shared" si="18"/>
        <v>1</v>
      </c>
      <c r="BE21" s="664">
        <f t="shared" si="19"/>
        <v>1</v>
      </c>
      <c r="BF21" s="664">
        <f t="shared" si="20"/>
        <v>5</v>
      </c>
      <c r="BG21" s="664">
        <f t="shared" si="21"/>
        <v>10</v>
      </c>
      <c r="BH21" s="664">
        <f t="shared" si="22"/>
        <v>10</v>
      </c>
      <c r="BI21" s="1009">
        <f t="shared" si="23"/>
        <v>1</v>
      </c>
      <c r="BJ21" s="1020">
        <f t="shared" si="24"/>
        <v>14</v>
      </c>
      <c r="BK21" s="931">
        <f t="shared" si="25"/>
        <v>4.8</v>
      </c>
      <c r="BL21" s="931">
        <f t="shared" si="26"/>
        <v>8.25</v>
      </c>
      <c r="BM21" s="931">
        <f t="shared" si="27"/>
        <v>6.160000000000001</v>
      </c>
      <c r="BN21" s="931">
        <f t="shared" si="28"/>
        <v>9.8000000000000007</v>
      </c>
      <c r="BO21" s="931">
        <f t="shared" si="29"/>
        <v>2.3333333333333335</v>
      </c>
      <c r="BP21" s="1021">
        <f t="shared" si="30"/>
        <v>7.0000000000000009</v>
      </c>
      <c r="BQ21" s="1011">
        <f t="shared" si="31"/>
        <v>52.343333333333341</v>
      </c>
      <c r="BR21" s="668">
        <f t="shared" si="32"/>
        <v>18</v>
      </c>
      <c r="BS21" s="942">
        <v>29</v>
      </c>
      <c r="BT21" s="943" t="s">
        <v>279</v>
      </c>
      <c r="BU21" s="635" t="s">
        <v>1258</v>
      </c>
      <c r="BV21" s="1046" t="str">
        <f>VLOOKUP($B21,Tiers!$A:$K,11,FALSE)</f>
        <v>Tier 3</v>
      </c>
      <c r="BW21" s="622"/>
    </row>
    <row r="22" spans="1:75" x14ac:dyDescent="0.25">
      <c r="A22" s="640">
        <v>12</v>
      </c>
      <c r="B22" s="574" t="s">
        <v>1116</v>
      </c>
      <c r="C22" s="574" t="s">
        <v>197</v>
      </c>
      <c r="D22" s="577" t="s">
        <v>765</v>
      </c>
      <c r="E22" s="576" t="s">
        <v>732</v>
      </c>
      <c r="F22" s="576" t="s">
        <v>475</v>
      </c>
      <c r="G22" s="577">
        <v>1</v>
      </c>
      <c r="H22" s="577">
        <v>1</v>
      </c>
      <c r="I22" s="577" t="s">
        <v>1049</v>
      </c>
      <c r="J22" s="276" t="s">
        <v>824</v>
      </c>
      <c r="K22" s="276" t="s">
        <v>824</v>
      </c>
      <c r="L22" s="276" t="s">
        <v>824</v>
      </c>
      <c r="M22" s="276" t="s">
        <v>824</v>
      </c>
      <c r="N22" s="580"/>
      <c r="O22" s="580"/>
      <c r="P22" s="580" t="s">
        <v>670</v>
      </c>
      <c r="Q22" s="573" t="str">
        <f t="shared" si="1"/>
        <v>M14</v>
      </c>
      <c r="R22" s="656">
        <v>0</v>
      </c>
      <c r="S22" s="657">
        <v>2115</v>
      </c>
      <c r="T22" s="655">
        <v>10</v>
      </c>
      <c r="U22" s="650">
        <v>2.21</v>
      </c>
      <c r="V22" s="652">
        <v>1.02</v>
      </c>
      <c r="W22" s="658">
        <v>10</v>
      </c>
      <c r="X22" s="655">
        <v>10</v>
      </c>
      <c r="Y22" s="655">
        <v>5</v>
      </c>
      <c r="Z22" s="655">
        <v>10</v>
      </c>
      <c r="AA22" s="654">
        <v>0</v>
      </c>
      <c r="AB22" s="654">
        <v>0</v>
      </c>
      <c r="AC22" s="655">
        <v>5</v>
      </c>
      <c r="AD22" s="654">
        <v>0</v>
      </c>
      <c r="AE22" s="654">
        <v>0</v>
      </c>
      <c r="AF22" s="654">
        <v>0</v>
      </c>
      <c r="AG22" s="655">
        <v>10</v>
      </c>
      <c r="AH22" s="654">
        <v>0</v>
      </c>
      <c r="AI22" s="656">
        <v>0</v>
      </c>
      <c r="AJ22" s="657">
        <v>4</v>
      </c>
      <c r="AK22" s="655">
        <v>10</v>
      </c>
      <c r="AL22" s="655">
        <v>10</v>
      </c>
      <c r="AM22" s="654">
        <v>0</v>
      </c>
      <c r="AN22" s="664">
        <f t="shared" si="2"/>
        <v>1</v>
      </c>
      <c r="AO22" s="664">
        <f t="shared" si="3"/>
        <v>3</v>
      </c>
      <c r="AP22" s="664">
        <f t="shared" si="4"/>
        <v>10</v>
      </c>
      <c r="AQ22" s="664">
        <f t="shared" si="5"/>
        <v>5</v>
      </c>
      <c r="AR22" s="664">
        <f t="shared" si="6"/>
        <v>7</v>
      </c>
      <c r="AS22" s="664">
        <f t="shared" si="7"/>
        <v>10</v>
      </c>
      <c r="AT22" s="664">
        <f t="shared" si="8"/>
        <v>10</v>
      </c>
      <c r="AU22" s="664">
        <f t="shared" si="9"/>
        <v>5</v>
      </c>
      <c r="AV22" s="664">
        <f t="shared" si="10"/>
        <v>10</v>
      </c>
      <c r="AW22" s="664">
        <f t="shared" si="11"/>
        <v>1</v>
      </c>
      <c r="AX22" s="664">
        <f t="shared" si="12"/>
        <v>1</v>
      </c>
      <c r="AY22" s="664">
        <f t="shared" si="13"/>
        <v>5</v>
      </c>
      <c r="AZ22" s="664">
        <f t="shared" si="14"/>
        <v>1</v>
      </c>
      <c r="BA22" s="664">
        <f t="shared" si="15"/>
        <v>1</v>
      </c>
      <c r="BB22" s="664">
        <f t="shared" si="16"/>
        <v>1</v>
      </c>
      <c r="BC22" s="664">
        <f t="shared" si="17"/>
        <v>10</v>
      </c>
      <c r="BD22" s="664">
        <f t="shared" si="18"/>
        <v>1</v>
      </c>
      <c r="BE22" s="664">
        <f t="shared" si="19"/>
        <v>1</v>
      </c>
      <c r="BF22" s="664">
        <f t="shared" si="20"/>
        <v>3</v>
      </c>
      <c r="BG22" s="664">
        <f t="shared" si="21"/>
        <v>10</v>
      </c>
      <c r="BH22" s="664">
        <f t="shared" si="22"/>
        <v>10</v>
      </c>
      <c r="BI22" s="1009">
        <f t="shared" si="23"/>
        <v>1</v>
      </c>
      <c r="BJ22" s="1020">
        <f t="shared" si="24"/>
        <v>9.8000000000000007</v>
      </c>
      <c r="BK22" s="931">
        <f t="shared" si="25"/>
        <v>11.733333333333334</v>
      </c>
      <c r="BL22" s="931">
        <f t="shared" si="26"/>
        <v>11.25</v>
      </c>
      <c r="BM22" s="931">
        <f t="shared" si="27"/>
        <v>5.0400000000000009</v>
      </c>
      <c r="BN22" s="931">
        <f t="shared" si="28"/>
        <v>5.6000000000000005</v>
      </c>
      <c r="BO22" s="931">
        <f t="shared" si="29"/>
        <v>1.666666666666667</v>
      </c>
      <c r="BP22" s="1021">
        <f t="shared" si="30"/>
        <v>7.0000000000000009</v>
      </c>
      <c r="BQ22" s="1011">
        <f t="shared" si="31"/>
        <v>52.089999999999996</v>
      </c>
      <c r="BR22" s="668">
        <f t="shared" si="32"/>
        <v>19</v>
      </c>
      <c r="BS22" s="944" t="s">
        <v>376</v>
      </c>
      <c r="BT22" s="941" t="s">
        <v>376</v>
      </c>
      <c r="BU22" s="635" t="s">
        <v>1258</v>
      </c>
      <c r="BV22" s="1045" t="str">
        <f>VLOOKUP($B22,Tiers!$A:$K,11,FALSE)</f>
        <v>Tier 1</v>
      </c>
      <c r="BW22" s="670"/>
    </row>
    <row r="23" spans="1:75" x14ac:dyDescent="0.25">
      <c r="A23" s="640">
        <v>66</v>
      </c>
      <c r="B23" s="600" t="s">
        <v>947</v>
      </c>
      <c r="C23" s="574" t="s">
        <v>37</v>
      </c>
      <c r="D23" s="576" t="s">
        <v>996</v>
      </c>
      <c r="E23" s="576" t="s">
        <v>995</v>
      </c>
      <c r="F23" s="576" t="s">
        <v>1628</v>
      </c>
      <c r="G23" s="578">
        <f>18955.042989/2</f>
        <v>9477.5214945000007</v>
      </c>
      <c r="H23" s="579">
        <f>G23/5280</f>
        <v>1.794985131534091</v>
      </c>
      <c r="I23" s="576" t="s">
        <v>672</v>
      </c>
      <c r="J23" s="580" t="s">
        <v>824</v>
      </c>
      <c r="K23" s="580" t="s">
        <v>824</v>
      </c>
      <c r="L23" s="580" t="s">
        <v>824</v>
      </c>
      <c r="M23" s="580" t="s">
        <v>824</v>
      </c>
      <c r="N23" s="581">
        <v>4</v>
      </c>
      <c r="O23" s="581">
        <v>4</v>
      </c>
      <c r="P23" s="583" t="s">
        <v>670</v>
      </c>
      <c r="Q23" s="573" t="str">
        <f t="shared" si="1"/>
        <v>M114</v>
      </c>
      <c r="R23" s="656">
        <v>0</v>
      </c>
      <c r="S23" s="657">
        <v>1015</v>
      </c>
      <c r="T23" s="655">
        <v>10</v>
      </c>
      <c r="U23" s="650">
        <v>2.1</v>
      </c>
      <c r="V23" s="652">
        <v>0.8</v>
      </c>
      <c r="W23" s="658">
        <v>5</v>
      </c>
      <c r="X23" s="655">
        <v>10</v>
      </c>
      <c r="Y23" s="655">
        <v>10</v>
      </c>
      <c r="Z23" s="655">
        <v>10</v>
      </c>
      <c r="AA23" s="654">
        <v>0</v>
      </c>
      <c r="AB23" s="655">
        <v>5</v>
      </c>
      <c r="AC23" s="655">
        <v>5</v>
      </c>
      <c r="AD23" s="654">
        <v>0</v>
      </c>
      <c r="AE23" s="655">
        <v>10</v>
      </c>
      <c r="AF23" s="654">
        <v>0</v>
      </c>
      <c r="AG23" s="655">
        <v>10</v>
      </c>
      <c r="AH23" s="654">
        <v>0</v>
      </c>
      <c r="AI23" s="657">
        <v>5</v>
      </c>
      <c r="AJ23" s="657">
        <v>5</v>
      </c>
      <c r="AK23" s="654">
        <v>0</v>
      </c>
      <c r="AL23" s="654">
        <v>0</v>
      </c>
      <c r="AM23" s="654">
        <v>0</v>
      </c>
      <c r="AN23" s="664">
        <f t="shared" si="2"/>
        <v>1</v>
      </c>
      <c r="AO23" s="664">
        <f t="shared" si="3"/>
        <v>1</v>
      </c>
      <c r="AP23" s="664">
        <f t="shared" si="4"/>
        <v>10</v>
      </c>
      <c r="AQ23" s="664">
        <f t="shared" si="5"/>
        <v>5</v>
      </c>
      <c r="AR23" s="664">
        <f t="shared" si="6"/>
        <v>5</v>
      </c>
      <c r="AS23" s="664">
        <f t="shared" si="7"/>
        <v>5</v>
      </c>
      <c r="AT23" s="664">
        <f t="shared" si="8"/>
        <v>10</v>
      </c>
      <c r="AU23" s="664">
        <f t="shared" si="9"/>
        <v>10</v>
      </c>
      <c r="AV23" s="664">
        <f t="shared" si="10"/>
        <v>10</v>
      </c>
      <c r="AW23" s="664">
        <f t="shared" si="11"/>
        <v>1</v>
      </c>
      <c r="AX23" s="664">
        <f t="shared" si="12"/>
        <v>5</v>
      </c>
      <c r="AY23" s="664">
        <f t="shared" si="13"/>
        <v>5</v>
      </c>
      <c r="AZ23" s="664">
        <f t="shared" si="14"/>
        <v>1</v>
      </c>
      <c r="BA23" s="664">
        <f t="shared" si="15"/>
        <v>10</v>
      </c>
      <c r="BB23" s="664">
        <f t="shared" si="16"/>
        <v>1</v>
      </c>
      <c r="BC23" s="664">
        <f t="shared" si="17"/>
        <v>10</v>
      </c>
      <c r="BD23" s="664">
        <f t="shared" si="18"/>
        <v>1</v>
      </c>
      <c r="BE23" s="664">
        <f t="shared" si="19"/>
        <v>5</v>
      </c>
      <c r="BF23" s="664">
        <f t="shared" si="20"/>
        <v>5</v>
      </c>
      <c r="BG23" s="664">
        <f t="shared" si="21"/>
        <v>1</v>
      </c>
      <c r="BH23" s="664">
        <f t="shared" si="22"/>
        <v>1</v>
      </c>
      <c r="BI23" s="1009">
        <f t="shared" si="23"/>
        <v>1</v>
      </c>
      <c r="BJ23" s="1020">
        <f t="shared" si="24"/>
        <v>8.4</v>
      </c>
      <c r="BK23" s="931">
        <f t="shared" si="25"/>
        <v>8</v>
      </c>
      <c r="BL23" s="931">
        <f t="shared" si="26"/>
        <v>15</v>
      </c>
      <c r="BM23" s="931">
        <f t="shared" si="27"/>
        <v>6.160000000000001</v>
      </c>
      <c r="BN23" s="931">
        <f t="shared" si="28"/>
        <v>9.8000000000000007</v>
      </c>
      <c r="BO23" s="931">
        <f t="shared" si="29"/>
        <v>3.666666666666667</v>
      </c>
      <c r="BP23" s="1021">
        <f t="shared" si="30"/>
        <v>1</v>
      </c>
      <c r="BQ23" s="1011">
        <f t="shared" si="31"/>
        <v>52.026666666666664</v>
      </c>
      <c r="BR23" s="668">
        <f t="shared" si="32"/>
        <v>20</v>
      </c>
      <c r="BS23" s="942" t="s">
        <v>376</v>
      </c>
      <c r="BT23" s="941" t="s">
        <v>376</v>
      </c>
      <c r="BU23" s="635" t="s">
        <v>1258</v>
      </c>
      <c r="BV23" s="1046" t="str">
        <f>VLOOKUP($B23,Tiers!$A:$K,11,FALSE)</f>
        <v>Tier 2</v>
      </c>
      <c r="BW23" s="670"/>
    </row>
    <row r="24" spans="1:75" x14ac:dyDescent="0.25">
      <c r="A24" s="640">
        <v>30</v>
      </c>
      <c r="B24" s="600" t="s">
        <v>985</v>
      </c>
      <c r="C24" s="574" t="s">
        <v>37</v>
      </c>
      <c r="D24" s="584" t="s">
        <v>1670</v>
      </c>
      <c r="E24" s="576" t="s">
        <v>1633</v>
      </c>
      <c r="F24" s="576" t="s">
        <v>1480</v>
      </c>
      <c r="G24" s="578">
        <v>2555.019722</v>
      </c>
      <c r="H24" s="579">
        <f>G24/5280</f>
        <v>0.4839052503787879</v>
      </c>
      <c r="I24" s="576" t="s">
        <v>672</v>
      </c>
      <c r="J24" s="580" t="s">
        <v>824</v>
      </c>
      <c r="K24" s="580"/>
      <c r="L24" s="580"/>
      <c r="M24" s="580"/>
      <c r="N24" s="581">
        <v>2</v>
      </c>
      <c r="O24" s="581">
        <v>3</v>
      </c>
      <c r="P24" s="583" t="s">
        <v>779</v>
      </c>
      <c r="Q24" s="573" t="str">
        <f t="shared" si="1"/>
        <v>M49b</v>
      </c>
      <c r="R24" s="656">
        <v>0</v>
      </c>
      <c r="S24" s="890">
        <v>7700</v>
      </c>
      <c r="T24" s="891">
        <v>10</v>
      </c>
      <c r="U24" s="649">
        <v>0</v>
      </c>
      <c r="V24" s="892">
        <v>1.1399999999999999</v>
      </c>
      <c r="W24" s="651">
        <v>0</v>
      </c>
      <c r="X24" s="649">
        <v>0</v>
      </c>
      <c r="Y24" s="891">
        <v>10</v>
      </c>
      <c r="Z24" s="891">
        <v>10</v>
      </c>
      <c r="AA24" s="649">
        <v>0</v>
      </c>
      <c r="AB24" s="649">
        <v>0</v>
      </c>
      <c r="AC24" s="891">
        <v>10</v>
      </c>
      <c r="AD24" s="649">
        <v>0</v>
      </c>
      <c r="AE24" s="891">
        <v>10</v>
      </c>
      <c r="AF24" s="891">
        <v>10</v>
      </c>
      <c r="AG24" s="649">
        <v>0</v>
      </c>
      <c r="AH24" s="649">
        <v>0</v>
      </c>
      <c r="AI24" s="651">
        <v>0</v>
      </c>
      <c r="AJ24" s="890">
        <v>5</v>
      </c>
      <c r="AK24" s="891">
        <v>10</v>
      </c>
      <c r="AL24" s="891">
        <v>5</v>
      </c>
      <c r="AM24" s="891">
        <v>0</v>
      </c>
      <c r="AN24" s="664">
        <f t="shared" si="2"/>
        <v>1</v>
      </c>
      <c r="AO24" s="664">
        <f t="shared" si="3"/>
        <v>10</v>
      </c>
      <c r="AP24" s="664">
        <f t="shared" si="4"/>
        <v>10</v>
      </c>
      <c r="AQ24" s="664">
        <f t="shared" si="5"/>
        <v>1</v>
      </c>
      <c r="AR24" s="664">
        <f t="shared" si="6"/>
        <v>7</v>
      </c>
      <c r="AS24" s="664">
        <f t="shared" si="7"/>
        <v>1</v>
      </c>
      <c r="AT24" s="664">
        <f t="shared" si="8"/>
        <v>1</v>
      </c>
      <c r="AU24" s="664">
        <f t="shared" si="9"/>
        <v>10</v>
      </c>
      <c r="AV24" s="664">
        <f t="shared" si="10"/>
        <v>10</v>
      </c>
      <c r="AW24" s="664">
        <f t="shared" si="11"/>
        <v>1</v>
      </c>
      <c r="AX24" s="664">
        <f t="shared" si="12"/>
        <v>1</v>
      </c>
      <c r="AY24" s="664">
        <f t="shared" si="13"/>
        <v>10</v>
      </c>
      <c r="AZ24" s="664">
        <f t="shared" si="14"/>
        <v>1</v>
      </c>
      <c r="BA24" s="664">
        <f t="shared" si="15"/>
        <v>10</v>
      </c>
      <c r="BB24" s="664">
        <f t="shared" si="16"/>
        <v>10</v>
      </c>
      <c r="BC24" s="664">
        <f t="shared" si="17"/>
        <v>1</v>
      </c>
      <c r="BD24" s="664">
        <f t="shared" si="18"/>
        <v>1</v>
      </c>
      <c r="BE24" s="664">
        <f t="shared" si="19"/>
        <v>1</v>
      </c>
      <c r="BF24" s="664">
        <f t="shared" si="20"/>
        <v>5</v>
      </c>
      <c r="BG24" s="664">
        <f t="shared" si="21"/>
        <v>10</v>
      </c>
      <c r="BH24" s="664">
        <f t="shared" si="22"/>
        <v>5</v>
      </c>
      <c r="BI24" s="1009">
        <f t="shared" si="23"/>
        <v>1</v>
      </c>
      <c r="BJ24" s="1020">
        <f t="shared" si="24"/>
        <v>14.7</v>
      </c>
      <c r="BK24" s="931">
        <f t="shared" si="25"/>
        <v>4.8</v>
      </c>
      <c r="BL24" s="931">
        <f t="shared" si="26"/>
        <v>8.25</v>
      </c>
      <c r="BM24" s="931">
        <f t="shared" si="27"/>
        <v>6.44</v>
      </c>
      <c r="BN24" s="931">
        <f t="shared" si="28"/>
        <v>9.8000000000000007</v>
      </c>
      <c r="BO24" s="931">
        <f t="shared" si="29"/>
        <v>2.3333333333333335</v>
      </c>
      <c r="BP24" s="1021">
        <f t="shared" si="30"/>
        <v>5.333333333333333</v>
      </c>
      <c r="BQ24" s="1011">
        <f t="shared" si="31"/>
        <v>51.656666666666666</v>
      </c>
      <c r="BR24" s="668">
        <f t="shared" si="32"/>
        <v>21</v>
      </c>
      <c r="BS24" s="942">
        <v>9</v>
      </c>
      <c r="BT24" s="943" t="s">
        <v>275</v>
      </c>
      <c r="BU24" s="635" t="s">
        <v>1258</v>
      </c>
      <c r="BV24" s="1046" t="str">
        <f>VLOOKUP($B24,Tiers!$A:$K,11,FALSE)</f>
        <v>Tier 2</v>
      </c>
      <c r="BW24" s="622"/>
    </row>
    <row r="25" spans="1:75" x14ac:dyDescent="0.25">
      <c r="A25" s="640">
        <v>61</v>
      </c>
      <c r="B25" s="600" t="s">
        <v>934</v>
      </c>
      <c r="C25" s="574" t="s">
        <v>37</v>
      </c>
      <c r="D25" s="576" t="s">
        <v>1088</v>
      </c>
      <c r="E25" s="576" t="s">
        <v>1089</v>
      </c>
      <c r="F25" s="576" t="s">
        <v>1090</v>
      </c>
      <c r="G25" s="578">
        <v>6566.8145359999999</v>
      </c>
      <c r="H25" s="579">
        <f>G25/5280</f>
        <v>1.2437148742424242</v>
      </c>
      <c r="I25" s="576" t="s">
        <v>1481</v>
      </c>
      <c r="J25" s="580" t="s">
        <v>824</v>
      </c>
      <c r="K25" s="580" t="s">
        <v>824</v>
      </c>
      <c r="L25" s="580" t="s">
        <v>824</v>
      </c>
      <c r="M25" s="580"/>
      <c r="N25" s="581">
        <v>2</v>
      </c>
      <c r="O25" s="581">
        <v>2</v>
      </c>
      <c r="P25" s="583" t="s">
        <v>670</v>
      </c>
      <c r="Q25" s="573" t="str">
        <f t="shared" si="1"/>
        <v>M106</v>
      </c>
      <c r="R25" s="656">
        <v>0</v>
      </c>
      <c r="S25" s="657">
        <v>260</v>
      </c>
      <c r="T25" s="655">
        <v>10</v>
      </c>
      <c r="U25" s="650">
        <v>2.08</v>
      </c>
      <c r="V25" s="652">
        <v>1.5</v>
      </c>
      <c r="W25" s="658">
        <v>10</v>
      </c>
      <c r="X25" s="657">
        <v>10</v>
      </c>
      <c r="Y25" s="657">
        <v>10</v>
      </c>
      <c r="Z25" s="656">
        <v>0</v>
      </c>
      <c r="AA25" s="654">
        <v>0</v>
      </c>
      <c r="AB25" s="654">
        <v>0</v>
      </c>
      <c r="AC25" s="655">
        <v>10</v>
      </c>
      <c r="AD25" s="654">
        <v>0</v>
      </c>
      <c r="AE25" s="654">
        <v>0</v>
      </c>
      <c r="AF25" s="654">
        <v>0</v>
      </c>
      <c r="AG25" s="655">
        <v>10</v>
      </c>
      <c r="AH25" s="655">
        <v>5</v>
      </c>
      <c r="AI25" s="656">
        <v>0</v>
      </c>
      <c r="AJ25" s="657">
        <v>5</v>
      </c>
      <c r="AK25" s="654">
        <v>0</v>
      </c>
      <c r="AL25" s="654">
        <v>0</v>
      </c>
      <c r="AM25" s="654">
        <v>0</v>
      </c>
      <c r="AN25" s="664">
        <f t="shared" si="2"/>
        <v>1</v>
      </c>
      <c r="AO25" s="664">
        <f t="shared" si="3"/>
        <v>1</v>
      </c>
      <c r="AP25" s="664">
        <f t="shared" si="4"/>
        <v>10</v>
      </c>
      <c r="AQ25" s="664">
        <f t="shared" si="5"/>
        <v>5</v>
      </c>
      <c r="AR25" s="664">
        <f t="shared" si="6"/>
        <v>10</v>
      </c>
      <c r="AS25" s="664">
        <f t="shared" si="7"/>
        <v>10</v>
      </c>
      <c r="AT25" s="664">
        <f t="shared" si="8"/>
        <v>10</v>
      </c>
      <c r="AU25" s="664">
        <f t="shared" si="9"/>
        <v>10</v>
      </c>
      <c r="AV25" s="664">
        <f t="shared" si="10"/>
        <v>1</v>
      </c>
      <c r="AW25" s="664">
        <f t="shared" si="11"/>
        <v>1</v>
      </c>
      <c r="AX25" s="664">
        <f t="shared" si="12"/>
        <v>1</v>
      </c>
      <c r="AY25" s="664">
        <f t="shared" si="13"/>
        <v>10</v>
      </c>
      <c r="AZ25" s="664">
        <f t="shared" si="14"/>
        <v>1</v>
      </c>
      <c r="BA25" s="664">
        <f t="shared" si="15"/>
        <v>1</v>
      </c>
      <c r="BB25" s="664">
        <f t="shared" si="16"/>
        <v>1</v>
      </c>
      <c r="BC25" s="664">
        <f t="shared" si="17"/>
        <v>10</v>
      </c>
      <c r="BD25" s="664">
        <f t="shared" si="18"/>
        <v>5</v>
      </c>
      <c r="BE25" s="664">
        <f t="shared" si="19"/>
        <v>1</v>
      </c>
      <c r="BF25" s="664">
        <f t="shared" si="20"/>
        <v>5</v>
      </c>
      <c r="BG25" s="664">
        <f t="shared" si="21"/>
        <v>1</v>
      </c>
      <c r="BH25" s="664">
        <f t="shared" si="22"/>
        <v>1</v>
      </c>
      <c r="BI25" s="1009">
        <f t="shared" si="23"/>
        <v>1</v>
      </c>
      <c r="BJ25" s="1020">
        <f t="shared" si="24"/>
        <v>8.4</v>
      </c>
      <c r="BK25" s="931">
        <f t="shared" si="25"/>
        <v>13.333333333333336</v>
      </c>
      <c r="BL25" s="931">
        <f t="shared" si="26"/>
        <v>15</v>
      </c>
      <c r="BM25" s="931">
        <f t="shared" si="27"/>
        <v>3.92</v>
      </c>
      <c r="BN25" s="931">
        <f t="shared" si="28"/>
        <v>5.6000000000000005</v>
      </c>
      <c r="BO25" s="931">
        <f t="shared" si="29"/>
        <v>3.666666666666667</v>
      </c>
      <c r="BP25" s="1021">
        <f t="shared" si="30"/>
        <v>1</v>
      </c>
      <c r="BQ25" s="1011">
        <f t="shared" si="31"/>
        <v>50.92</v>
      </c>
      <c r="BR25" s="668">
        <f t="shared" si="32"/>
        <v>22</v>
      </c>
      <c r="BS25" s="942" t="s">
        <v>376</v>
      </c>
      <c r="BT25" s="941" t="s">
        <v>376</v>
      </c>
      <c r="BU25" s="635" t="s">
        <v>1258</v>
      </c>
      <c r="BV25" s="1045" t="str">
        <f>VLOOKUP($B25,Tiers!$A:$K,11,FALSE)</f>
        <v>Tier 1</v>
      </c>
      <c r="BW25" s="670"/>
    </row>
    <row r="26" spans="1:75" x14ac:dyDescent="0.25">
      <c r="A26" s="640">
        <v>6</v>
      </c>
      <c r="B26" s="574" t="s">
        <v>1109</v>
      </c>
      <c r="C26" s="574" t="s">
        <v>197</v>
      </c>
      <c r="D26" s="577" t="s">
        <v>759</v>
      </c>
      <c r="E26" s="576" t="s">
        <v>1354</v>
      </c>
      <c r="F26" s="576" t="s">
        <v>1629</v>
      </c>
      <c r="G26" s="577">
        <v>1</v>
      </c>
      <c r="H26" s="577">
        <v>1</v>
      </c>
      <c r="I26" s="577" t="s">
        <v>1049</v>
      </c>
      <c r="J26" s="276" t="s">
        <v>824</v>
      </c>
      <c r="K26" s="276" t="s">
        <v>824</v>
      </c>
      <c r="L26" s="276" t="s">
        <v>824</v>
      </c>
      <c r="M26" s="276" t="s">
        <v>824</v>
      </c>
      <c r="N26" s="580"/>
      <c r="O26" s="580"/>
      <c r="P26" s="580" t="s">
        <v>670</v>
      </c>
      <c r="Q26" s="573" t="str">
        <f t="shared" si="1"/>
        <v>M7</v>
      </c>
      <c r="R26" s="656">
        <v>0</v>
      </c>
      <c r="S26" s="657">
        <v>1590</v>
      </c>
      <c r="T26" s="655">
        <v>10</v>
      </c>
      <c r="U26" s="650">
        <v>1.96</v>
      </c>
      <c r="V26" s="652">
        <v>0.92</v>
      </c>
      <c r="W26" s="657">
        <v>10</v>
      </c>
      <c r="X26" s="654">
        <v>0</v>
      </c>
      <c r="Y26" s="654">
        <v>0</v>
      </c>
      <c r="Z26" s="655">
        <v>10</v>
      </c>
      <c r="AA26" s="654">
        <v>0</v>
      </c>
      <c r="AB26" s="654">
        <v>0</v>
      </c>
      <c r="AC26" s="655">
        <v>5</v>
      </c>
      <c r="AD26" s="654">
        <v>0</v>
      </c>
      <c r="AE26" s="654">
        <v>0</v>
      </c>
      <c r="AF26" s="654">
        <v>0</v>
      </c>
      <c r="AG26" s="655">
        <v>10</v>
      </c>
      <c r="AH26" s="655">
        <v>10</v>
      </c>
      <c r="AI26" s="657">
        <v>10</v>
      </c>
      <c r="AJ26" s="657">
        <v>5</v>
      </c>
      <c r="AK26" s="655">
        <v>10</v>
      </c>
      <c r="AL26" s="655">
        <v>10</v>
      </c>
      <c r="AM26" s="655">
        <v>10</v>
      </c>
      <c r="AN26" s="664">
        <f t="shared" si="2"/>
        <v>1</v>
      </c>
      <c r="AO26" s="664">
        <f t="shared" si="3"/>
        <v>2</v>
      </c>
      <c r="AP26" s="664">
        <f t="shared" si="4"/>
        <v>10</v>
      </c>
      <c r="AQ26" s="664">
        <f t="shared" si="5"/>
        <v>4</v>
      </c>
      <c r="AR26" s="664">
        <f t="shared" si="6"/>
        <v>6</v>
      </c>
      <c r="AS26" s="664">
        <f t="shared" si="7"/>
        <v>10</v>
      </c>
      <c r="AT26" s="664">
        <f t="shared" si="8"/>
        <v>1</v>
      </c>
      <c r="AU26" s="664">
        <f t="shared" si="9"/>
        <v>1</v>
      </c>
      <c r="AV26" s="664">
        <f t="shared" si="10"/>
        <v>10</v>
      </c>
      <c r="AW26" s="664">
        <f t="shared" si="11"/>
        <v>1</v>
      </c>
      <c r="AX26" s="664">
        <f t="shared" si="12"/>
        <v>1</v>
      </c>
      <c r="AY26" s="664">
        <f t="shared" si="13"/>
        <v>5</v>
      </c>
      <c r="AZ26" s="664">
        <f t="shared" si="14"/>
        <v>1</v>
      </c>
      <c r="BA26" s="664">
        <f t="shared" si="15"/>
        <v>1</v>
      </c>
      <c r="BB26" s="664">
        <f t="shared" si="16"/>
        <v>1</v>
      </c>
      <c r="BC26" s="664">
        <f t="shared" si="17"/>
        <v>10</v>
      </c>
      <c r="BD26" s="664">
        <f t="shared" si="18"/>
        <v>10</v>
      </c>
      <c r="BE26" s="664">
        <f t="shared" si="19"/>
        <v>10</v>
      </c>
      <c r="BF26" s="664">
        <f t="shared" si="20"/>
        <v>5</v>
      </c>
      <c r="BG26" s="664">
        <f t="shared" si="21"/>
        <v>10</v>
      </c>
      <c r="BH26" s="664">
        <f t="shared" si="22"/>
        <v>10</v>
      </c>
      <c r="BI26" s="1009">
        <f t="shared" si="23"/>
        <v>10</v>
      </c>
      <c r="BJ26" s="1020">
        <f t="shared" si="24"/>
        <v>9.1</v>
      </c>
      <c r="BK26" s="931">
        <f t="shared" si="25"/>
        <v>10.666666666666666</v>
      </c>
      <c r="BL26" s="931">
        <f t="shared" si="26"/>
        <v>1.5</v>
      </c>
      <c r="BM26" s="931">
        <f t="shared" si="27"/>
        <v>5.0400000000000009</v>
      </c>
      <c r="BN26" s="931">
        <f t="shared" si="28"/>
        <v>5.6000000000000005</v>
      </c>
      <c r="BO26" s="931">
        <f t="shared" si="29"/>
        <v>8.3333333333333357</v>
      </c>
      <c r="BP26" s="1021">
        <f t="shared" si="30"/>
        <v>10</v>
      </c>
      <c r="BQ26" s="1011">
        <f t="shared" si="31"/>
        <v>50.24</v>
      </c>
      <c r="BR26" s="668">
        <f t="shared" si="32"/>
        <v>23</v>
      </c>
      <c r="BS26" s="944" t="s">
        <v>376</v>
      </c>
      <c r="BT26" s="941" t="s">
        <v>376</v>
      </c>
      <c r="BU26" s="637" t="s">
        <v>1260</v>
      </c>
      <c r="BV26" s="1045" t="str">
        <f>VLOOKUP($B26,Tiers!$A:$K,11,FALSE)</f>
        <v>Tier 1</v>
      </c>
      <c r="BW26" s="670"/>
    </row>
    <row r="27" spans="1:75" x14ac:dyDescent="0.25">
      <c r="A27" s="640">
        <v>21</v>
      </c>
      <c r="B27" s="574" t="s">
        <v>1124</v>
      </c>
      <c r="C27" s="574" t="s">
        <v>197</v>
      </c>
      <c r="D27" s="577" t="s">
        <v>589</v>
      </c>
      <c r="E27" s="576" t="s">
        <v>614</v>
      </c>
      <c r="F27" s="576" t="s">
        <v>839</v>
      </c>
      <c r="G27" s="577">
        <v>1</v>
      </c>
      <c r="H27" s="577">
        <v>1</v>
      </c>
      <c r="I27" s="577" t="s">
        <v>1646</v>
      </c>
      <c r="J27" s="276" t="s">
        <v>824</v>
      </c>
      <c r="K27" s="276" t="s">
        <v>824</v>
      </c>
      <c r="L27" s="276" t="s">
        <v>824</v>
      </c>
      <c r="M27" s="276" t="s">
        <v>824</v>
      </c>
      <c r="N27" s="580"/>
      <c r="O27" s="580"/>
      <c r="P27" s="580" t="s">
        <v>670</v>
      </c>
      <c r="Q27" s="573" t="str">
        <f t="shared" si="1"/>
        <v>M23</v>
      </c>
      <c r="R27" s="656">
        <v>0</v>
      </c>
      <c r="S27" s="657">
        <v>7700</v>
      </c>
      <c r="T27" s="654">
        <v>0</v>
      </c>
      <c r="U27" s="649">
        <v>0</v>
      </c>
      <c r="V27" s="652">
        <v>0.93</v>
      </c>
      <c r="W27" s="658">
        <v>10</v>
      </c>
      <c r="X27" s="654">
        <v>0</v>
      </c>
      <c r="Y27" s="655">
        <v>10</v>
      </c>
      <c r="Z27" s="655">
        <v>10</v>
      </c>
      <c r="AA27" s="655">
        <v>5</v>
      </c>
      <c r="AB27" s="654">
        <v>0</v>
      </c>
      <c r="AC27" s="655">
        <v>10</v>
      </c>
      <c r="AD27" s="655">
        <v>5</v>
      </c>
      <c r="AE27" s="655">
        <v>10</v>
      </c>
      <c r="AF27" s="654">
        <v>0</v>
      </c>
      <c r="AG27" s="655">
        <v>5</v>
      </c>
      <c r="AH27" s="654">
        <v>0</v>
      </c>
      <c r="AI27" s="656">
        <v>0</v>
      </c>
      <c r="AJ27" s="657">
        <v>3</v>
      </c>
      <c r="AK27" s="655">
        <v>10</v>
      </c>
      <c r="AL27" s="655">
        <v>10</v>
      </c>
      <c r="AM27" s="654">
        <v>0</v>
      </c>
      <c r="AN27" s="664">
        <f t="shared" si="2"/>
        <v>1</v>
      </c>
      <c r="AO27" s="664">
        <f t="shared" si="3"/>
        <v>10</v>
      </c>
      <c r="AP27" s="664">
        <f t="shared" si="4"/>
        <v>1</v>
      </c>
      <c r="AQ27" s="664">
        <f t="shared" si="5"/>
        <v>1</v>
      </c>
      <c r="AR27" s="664">
        <f t="shared" si="6"/>
        <v>6</v>
      </c>
      <c r="AS27" s="664">
        <f t="shared" si="7"/>
        <v>10</v>
      </c>
      <c r="AT27" s="664">
        <f t="shared" si="8"/>
        <v>1</v>
      </c>
      <c r="AU27" s="664">
        <f t="shared" si="9"/>
        <v>10</v>
      </c>
      <c r="AV27" s="664">
        <f t="shared" si="10"/>
        <v>10</v>
      </c>
      <c r="AW27" s="664">
        <f t="shared" si="11"/>
        <v>5</v>
      </c>
      <c r="AX27" s="664">
        <f t="shared" si="12"/>
        <v>1</v>
      </c>
      <c r="AY27" s="664">
        <f t="shared" si="13"/>
        <v>10</v>
      </c>
      <c r="AZ27" s="664">
        <f t="shared" si="14"/>
        <v>5</v>
      </c>
      <c r="BA27" s="664">
        <f t="shared" si="15"/>
        <v>10</v>
      </c>
      <c r="BB27" s="664">
        <f t="shared" si="16"/>
        <v>1</v>
      </c>
      <c r="BC27" s="664">
        <f t="shared" si="17"/>
        <v>5</v>
      </c>
      <c r="BD27" s="664">
        <f t="shared" si="18"/>
        <v>1</v>
      </c>
      <c r="BE27" s="664">
        <f t="shared" si="19"/>
        <v>1</v>
      </c>
      <c r="BF27" s="664">
        <f t="shared" si="20"/>
        <v>1</v>
      </c>
      <c r="BG27" s="664">
        <f t="shared" si="21"/>
        <v>10</v>
      </c>
      <c r="BH27" s="664">
        <f t="shared" si="22"/>
        <v>10</v>
      </c>
      <c r="BI27" s="1009">
        <f t="shared" si="23"/>
        <v>1</v>
      </c>
      <c r="BJ27" s="1020">
        <f t="shared" si="24"/>
        <v>8.4</v>
      </c>
      <c r="BK27" s="931">
        <f t="shared" si="25"/>
        <v>9.0666666666666664</v>
      </c>
      <c r="BL27" s="931">
        <f t="shared" si="26"/>
        <v>8.25</v>
      </c>
      <c r="BM27" s="931">
        <f t="shared" si="27"/>
        <v>8.6800000000000015</v>
      </c>
      <c r="BN27" s="931">
        <f t="shared" si="28"/>
        <v>7.4666666666666668</v>
      </c>
      <c r="BO27" s="931">
        <f t="shared" si="29"/>
        <v>1</v>
      </c>
      <c r="BP27" s="1021">
        <f t="shared" si="30"/>
        <v>7.0000000000000009</v>
      </c>
      <c r="BQ27" s="1011">
        <f t="shared" si="31"/>
        <v>49.863333333333337</v>
      </c>
      <c r="BR27" s="668">
        <f t="shared" si="32"/>
        <v>24</v>
      </c>
      <c r="BS27" s="942">
        <v>33</v>
      </c>
      <c r="BT27" s="943" t="s">
        <v>275</v>
      </c>
      <c r="BU27" s="637" t="s">
        <v>1260</v>
      </c>
      <c r="BV27" s="1045" t="str">
        <f>VLOOKUP($B27,Tiers!$A:$K,11,FALSE)</f>
        <v>Tier 2</v>
      </c>
      <c r="BW27" s="622" t="s">
        <v>1371</v>
      </c>
    </row>
    <row r="28" spans="1:75" x14ac:dyDescent="0.25">
      <c r="A28" s="640">
        <v>24</v>
      </c>
      <c r="B28" s="574" t="s">
        <v>1127</v>
      </c>
      <c r="C28" s="574" t="s">
        <v>197</v>
      </c>
      <c r="D28" s="577" t="s">
        <v>1010</v>
      </c>
      <c r="E28" s="576" t="s">
        <v>1349</v>
      </c>
      <c r="F28" s="576" t="s">
        <v>1005</v>
      </c>
      <c r="G28" s="577">
        <v>1</v>
      </c>
      <c r="H28" s="577">
        <v>1</v>
      </c>
      <c r="I28" s="577" t="s">
        <v>1646</v>
      </c>
      <c r="J28" s="276" t="s">
        <v>824</v>
      </c>
      <c r="K28" s="276" t="s">
        <v>824</v>
      </c>
      <c r="L28" s="276" t="s">
        <v>824</v>
      </c>
      <c r="M28" s="276" t="s">
        <v>824</v>
      </c>
      <c r="N28" s="580"/>
      <c r="O28" s="580"/>
      <c r="P28" s="580" t="s">
        <v>670</v>
      </c>
      <c r="Q28" s="573" t="str">
        <f t="shared" si="1"/>
        <v>M26</v>
      </c>
      <c r="R28" s="657">
        <v>10</v>
      </c>
      <c r="S28" s="657">
        <v>4700</v>
      </c>
      <c r="T28" s="654">
        <v>0</v>
      </c>
      <c r="U28" s="650">
        <v>1.74</v>
      </c>
      <c r="V28" s="652">
        <v>0.89</v>
      </c>
      <c r="W28" s="658">
        <v>10</v>
      </c>
      <c r="X28" s="655">
        <v>10</v>
      </c>
      <c r="Y28" s="654">
        <v>0</v>
      </c>
      <c r="Z28" s="655">
        <v>10</v>
      </c>
      <c r="AA28" s="654">
        <v>0</v>
      </c>
      <c r="AB28" s="654">
        <v>0</v>
      </c>
      <c r="AC28" s="655">
        <v>5</v>
      </c>
      <c r="AD28" s="655">
        <v>10</v>
      </c>
      <c r="AE28" s="655">
        <v>10</v>
      </c>
      <c r="AF28" s="654">
        <v>0</v>
      </c>
      <c r="AG28" s="654">
        <v>0</v>
      </c>
      <c r="AH28" s="654">
        <v>0</v>
      </c>
      <c r="AI28" s="656">
        <v>0</v>
      </c>
      <c r="AJ28" s="657">
        <v>4</v>
      </c>
      <c r="AK28" s="655">
        <v>10</v>
      </c>
      <c r="AL28" s="654">
        <v>0</v>
      </c>
      <c r="AM28" s="654">
        <v>0</v>
      </c>
      <c r="AN28" s="664">
        <f t="shared" si="2"/>
        <v>10</v>
      </c>
      <c r="AO28" s="664">
        <f t="shared" si="3"/>
        <v>6</v>
      </c>
      <c r="AP28" s="664">
        <f t="shared" si="4"/>
        <v>1</v>
      </c>
      <c r="AQ28" s="664">
        <f t="shared" si="5"/>
        <v>4</v>
      </c>
      <c r="AR28" s="664">
        <f t="shared" si="6"/>
        <v>6</v>
      </c>
      <c r="AS28" s="664">
        <f t="shared" si="7"/>
        <v>10</v>
      </c>
      <c r="AT28" s="664">
        <f t="shared" si="8"/>
        <v>10</v>
      </c>
      <c r="AU28" s="664">
        <f t="shared" si="9"/>
        <v>1</v>
      </c>
      <c r="AV28" s="664">
        <f t="shared" si="10"/>
        <v>10</v>
      </c>
      <c r="AW28" s="664">
        <f t="shared" si="11"/>
        <v>1</v>
      </c>
      <c r="AX28" s="664">
        <f t="shared" si="12"/>
        <v>1</v>
      </c>
      <c r="AY28" s="664">
        <f t="shared" si="13"/>
        <v>5</v>
      </c>
      <c r="AZ28" s="664">
        <f t="shared" si="14"/>
        <v>10</v>
      </c>
      <c r="BA28" s="664">
        <f t="shared" si="15"/>
        <v>10</v>
      </c>
      <c r="BB28" s="664">
        <f t="shared" si="16"/>
        <v>1</v>
      </c>
      <c r="BC28" s="664">
        <f t="shared" si="17"/>
        <v>1</v>
      </c>
      <c r="BD28" s="664">
        <f t="shared" si="18"/>
        <v>1</v>
      </c>
      <c r="BE28" s="664">
        <f t="shared" si="19"/>
        <v>1</v>
      </c>
      <c r="BF28" s="664">
        <f t="shared" si="20"/>
        <v>3</v>
      </c>
      <c r="BG28" s="664">
        <f t="shared" si="21"/>
        <v>10</v>
      </c>
      <c r="BH28" s="664">
        <f t="shared" si="22"/>
        <v>1</v>
      </c>
      <c r="BI28" s="1009">
        <f t="shared" si="23"/>
        <v>1</v>
      </c>
      <c r="BJ28" s="1020">
        <f t="shared" si="24"/>
        <v>11.899999999999999</v>
      </c>
      <c r="BK28" s="931">
        <f t="shared" si="25"/>
        <v>10.666666666666666</v>
      </c>
      <c r="BL28" s="931">
        <f t="shared" si="26"/>
        <v>8.25</v>
      </c>
      <c r="BM28" s="931">
        <f t="shared" si="27"/>
        <v>7.5600000000000014</v>
      </c>
      <c r="BN28" s="931">
        <f t="shared" si="28"/>
        <v>5.6000000000000005</v>
      </c>
      <c r="BO28" s="931">
        <f t="shared" si="29"/>
        <v>1.666666666666667</v>
      </c>
      <c r="BP28" s="1021">
        <f t="shared" si="30"/>
        <v>4</v>
      </c>
      <c r="BQ28" s="1011">
        <f t="shared" si="31"/>
        <v>49.643333333333331</v>
      </c>
      <c r="BR28" s="668">
        <f t="shared" si="32"/>
        <v>25</v>
      </c>
      <c r="BS28" s="944" t="s">
        <v>376</v>
      </c>
      <c r="BT28" s="941" t="s">
        <v>376</v>
      </c>
      <c r="BU28" s="637" t="s">
        <v>1260</v>
      </c>
      <c r="BV28" s="1047" t="str">
        <f>VLOOKUP($B28,Tiers!$A:$K,11,FALSE)</f>
        <v>Tier 2</v>
      </c>
      <c r="BW28" s="670"/>
    </row>
    <row r="29" spans="1:75" ht="13.8" x14ac:dyDescent="0.3">
      <c r="A29" s="641">
        <v>77</v>
      </c>
      <c r="B29" s="600" t="s">
        <v>1389</v>
      </c>
      <c r="C29" s="574" t="s">
        <v>139</v>
      </c>
      <c r="D29" s="142" t="s">
        <v>1390</v>
      </c>
      <c r="E29" s="576" t="s">
        <v>1391</v>
      </c>
      <c r="F29" s="576" t="s">
        <v>475</v>
      </c>
      <c r="G29" s="657">
        <v>8851.5389840000007</v>
      </c>
      <c r="H29" s="579">
        <f>G29/5280</f>
        <v>1.676427837878788</v>
      </c>
      <c r="I29" s="576" t="s">
        <v>1643</v>
      </c>
      <c r="J29" s="580"/>
      <c r="K29" s="580" t="s">
        <v>824</v>
      </c>
      <c r="L29" s="580" t="s">
        <v>824</v>
      </c>
      <c r="M29" s="580"/>
      <c r="N29" s="582" t="s">
        <v>262</v>
      </c>
      <c r="O29" s="581" t="s">
        <v>262</v>
      </c>
      <c r="P29" s="583" t="s">
        <v>670</v>
      </c>
      <c r="Q29" s="573" t="str">
        <f t="shared" si="1"/>
        <v>M125</v>
      </c>
      <c r="R29" s="656">
        <v>0</v>
      </c>
      <c r="S29" s="658">
        <v>920</v>
      </c>
      <c r="T29" s="655">
        <v>10</v>
      </c>
      <c r="U29" s="675">
        <v>1.44</v>
      </c>
      <c r="V29" s="906">
        <v>1.02</v>
      </c>
      <c r="W29" s="656">
        <v>0</v>
      </c>
      <c r="X29" s="659">
        <v>10</v>
      </c>
      <c r="Y29" s="654">
        <v>0</v>
      </c>
      <c r="Z29" s="658">
        <v>10</v>
      </c>
      <c r="AA29" s="654">
        <v>0</v>
      </c>
      <c r="AB29" s="659">
        <v>5</v>
      </c>
      <c r="AC29" s="659">
        <v>10</v>
      </c>
      <c r="AD29" s="659">
        <v>10</v>
      </c>
      <c r="AE29" s="659">
        <v>10</v>
      </c>
      <c r="AF29" s="654">
        <v>0</v>
      </c>
      <c r="AG29" s="659">
        <v>10</v>
      </c>
      <c r="AH29" s="654">
        <v>0</v>
      </c>
      <c r="AI29" s="656">
        <v>0</v>
      </c>
      <c r="AJ29" s="658">
        <v>6</v>
      </c>
      <c r="AK29" s="658">
        <v>5</v>
      </c>
      <c r="AL29" s="658">
        <v>5</v>
      </c>
      <c r="AM29" s="654">
        <v>0</v>
      </c>
      <c r="AN29" s="664">
        <f t="shared" si="2"/>
        <v>1</v>
      </c>
      <c r="AO29" s="664">
        <f t="shared" si="3"/>
        <v>1</v>
      </c>
      <c r="AP29" s="664">
        <f t="shared" si="4"/>
        <v>10</v>
      </c>
      <c r="AQ29" s="664">
        <f t="shared" si="5"/>
        <v>3</v>
      </c>
      <c r="AR29" s="664">
        <f t="shared" si="6"/>
        <v>7</v>
      </c>
      <c r="AS29" s="664">
        <f t="shared" si="7"/>
        <v>1</v>
      </c>
      <c r="AT29" s="664">
        <f t="shared" si="8"/>
        <v>10</v>
      </c>
      <c r="AU29" s="664">
        <f t="shared" si="9"/>
        <v>1</v>
      </c>
      <c r="AV29" s="664">
        <f t="shared" si="10"/>
        <v>10</v>
      </c>
      <c r="AW29" s="664">
        <f t="shared" si="11"/>
        <v>1</v>
      </c>
      <c r="AX29" s="664">
        <f t="shared" si="12"/>
        <v>5</v>
      </c>
      <c r="AY29" s="664">
        <f t="shared" si="13"/>
        <v>10</v>
      </c>
      <c r="AZ29" s="664">
        <f t="shared" si="14"/>
        <v>10</v>
      </c>
      <c r="BA29" s="664">
        <f t="shared" si="15"/>
        <v>10</v>
      </c>
      <c r="BB29" s="664">
        <f t="shared" si="16"/>
        <v>1</v>
      </c>
      <c r="BC29" s="664">
        <f t="shared" si="17"/>
        <v>10</v>
      </c>
      <c r="BD29" s="664">
        <f t="shared" si="18"/>
        <v>1</v>
      </c>
      <c r="BE29" s="664">
        <f t="shared" si="19"/>
        <v>1</v>
      </c>
      <c r="BF29" s="664">
        <f t="shared" si="20"/>
        <v>8</v>
      </c>
      <c r="BG29" s="664">
        <f t="shared" si="21"/>
        <v>5</v>
      </c>
      <c r="BH29" s="664">
        <f t="shared" si="22"/>
        <v>5</v>
      </c>
      <c r="BI29" s="1009">
        <f t="shared" si="23"/>
        <v>1</v>
      </c>
      <c r="BJ29" s="1020">
        <f t="shared" si="24"/>
        <v>8.4</v>
      </c>
      <c r="BK29" s="931">
        <f t="shared" si="25"/>
        <v>5.8666666666666671</v>
      </c>
      <c r="BL29" s="931">
        <f t="shared" si="26"/>
        <v>8.25</v>
      </c>
      <c r="BM29" s="931">
        <f t="shared" si="27"/>
        <v>10.080000000000002</v>
      </c>
      <c r="BN29" s="931">
        <f t="shared" si="28"/>
        <v>9.8000000000000007</v>
      </c>
      <c r="BO29" s="931">
        <f t="shared" si="29"/>
        <v>3.3333333333333339</v>
      </c>
      <c r="BP29" s="1021">
        <f t="shared" si="30"/>
        <v>3.666666666666667</v>
      </c>
      <c r="BQ29" s="1011">
        <f t="shared" si="31"/>
        <v>49.396666666666661</v>
      </c>
      <c r="BR29" s="668">
        <f t="shared" si="32"/>
        <v>26</v>
      </c>
      <c r="BS29" s="942" t="s">
        <v>376</v>
      </c>
      <c r="BT29" s="941" t="s">
        <v>376</v>
      </c>
      <c r="BU29" s="637" t="s">
        <v>1260</v>
      </c>
      <c r="BV29" s="1047" t="str">
        <f>VLOOKUP($B29,Tiers!$A:$K,11,FALSE)</f>
        <v>Tier 3</v>
      </c>
      <c r="BW29" s="590" t="s">
        <v>1370</v>
      </c>
    </row>
    <row r="30" spans="1:75" x14ac:dyDescent="0.25">
      <c r="A30" s="640">
        <v>48</v>
      </c>
      <c r="B30" s="600" t="s">
        <v>923</v>
      </c>
      <c r="C30" s="574" t="s">
        <v>37</v>
      </c>
      <c r="D30" s="584" t="s">
        <v>972</v>
      </c>
      <c r="E30" s="576" t="s">
        <v>728</v>
      </c>
      <c r="F30" s="576" t="s">
        <v>855</v>
      </c>
      <c r="G30" s="578">
        <v>4204.4205135947996</v>
      </c>
      <c r="H30" s="579">
        <f>G30/5280</f>
        <v>0.79629176393840906</v>
      </c>
      <c r="I30" s="576" t="s">
        <v>1481</v>
      </c>
      <c r="J30" s="580"/>
      <c r="K30" s="580" t="s">
        <v>824</v>
      </c>
      <c r="L30" s="580" t="s">
        <v>824</v>
      </c>
      <c r="M30" s="580" t="s">
        <v>824</v>
      </c>
      <c r="N30" s="581">
        <v>2</v>
      </c>
      <c r="O30" s="581">
        <v>2</v>
      </c>
      <c r="P30" s="583" t="s">
        <v>670</v>
      </c>
      <c r="Q30" s="573" t="str">
        <f t="shared" si="1"/>
        <v>M68</v>
      </c>
      <c r="R30" s="656">
        <v>0</v>
      </c>
      <c r="S30" s="657">
        <v>155</v>
      </c>
      <c r="T30" s="655">
        <v>10</v>
      </c>
      <c r="U30" s="649">
        <v>0</v>
      </c>
      <c r="V30" s="652">
        <v>1.45</v>
      </c>
      <c r="W30" s="656">
        <v>0</v>
      </c>
      <c r="X30" s="654">
        <v>0</v>
      </c>
      <c r="Y30" s="655">
        <v>10</v>
      </c>
      <c r="Z30" s="657">
        <v>10</v>
      </c>
      <c r="AA30" s="654">
        <v>0</v>
      </c>
      <c r="AB30" s="654">
        <v>0</v>
      </c>
      <c r="AC30" s="656">
        <v>0</v>
      </c>
      <c r="AD30" s="655">
        <v>10</v>
      </c>
      <c r="AE30" s="654">
        <v>0</v>
      </c>
      <c r="AF30" s="659">
        <v>10</v>
      </c>
      <c r="AG30" s="655">
        <v>10</v>
      </c>
      <c r="AH30" s="654">
        <v>0</v>
      </c>
      <c r="AI30" s="656">
        <v>0</v>
      </c>
      <c r="AJ30" s="657">
        <v>6</v>
      </c>
      <c r="AK30" s="657">
        <v>10</v>
      </c>
      <c r="AL30" s="657">
        <v>10</v>
      </c>
      <c r="AM30" s="654">
        <v>0</v>
      </c>
      <c r="AN30" s="664">
        <f t="shared" si="2"/>
        <v>1</v>
      </c>
      <c r="AO30" s="664">
        <f t="shared" si="3"/>
        <v>1</v>
      </c>
      <c r="AP30" s="664">
        <f t="shared" si="4"/>
        <v>10</v>
      </c>
      <c r="AQ30" s="664">
        <f t="shared" si="5"/>
        <v>1</v>
      </c>
      <c r="AR30" s="664">
        <f t="shared" si="6"/>
        <v>9</v>
      </c>
      <c r="AS30" s="664">
        <f t="shared" si="7"/>
        <v>1</v>
      </c>
      <c r="AT30" s="664">
        <f t="shared" si="8"/>
        <v>1</v>
      </c>
      <c r="AU30" s="664">
        <f t="shared" si="9"/>
        <v>10</v>
      </c>
      <c r="AV30" s="664">
        <f t="shared" si="10"/>
        <v>10</v>
      </c>
      <c r="AW30" s="664">
        <f t="shared" si="11"/>
        <v>1</v>
      </c>
      <c r="AX30" s="664">
        <f t="shared" si="12"/>
        <v>1</v>
      </c>
      <c r="AY30" s="664">
        <f t="shared" si="13"/>
        <v>1</v>
      </c>
      <c r="AZ30" s="664">
        <f t="shared" si="14"/>
        <v>10</v>
      </c>
      <c r="BA30" s="664">
        <f t="shared" si="15"/>
        <v>1</v>
      </c>
      <c r="BB30" s="664">
        <f t="shared" si="16"/>
        <v>10</v>
      </c>
      <c r="BC30" s="664">
        <f t="shared" si="17"/>
        <v>10</v>
      </c>
      <c r="BD30" s="664">
        <f t="shared" si="18"/>
        <v>1</v>
      </c>
      <c r="BE30" s="664">
        <f t="shared" si="19"/>
        <v>1</v>
      </c>
      <c r="BF30" s="664">
        <f t="shared" si="20"/>
        <v>8</v>
      </c>
      <c r="BG30" s="664">
        <f t="shared" si="21"/>
        <v>10</v>
      </c>
      <c r="BH30" s="664">
        <f t="shared" si="22"/>
        <v>10</v>
      </c>
      <c r="BI30" s="1009">
        <f t="shared" si="23"/>
        <v>1</v>
      </c>
      <c r="BJ30" s="1020">
        <f t="shared" si="24"/>
        <v>8.4</v>
      </c>
      <c r="BK30" s="931">
        <f t="shared" si="25"/>
        <v>5.8666666666666671</v>
      </c>
      <c r="BL30" s="931">
        <f t="shared" si="26"/>
        <v>8.25</v>
      </c>
      <c r="BM30" s="931">
        <f t="shared" si="27"/>
        <v>6.44</v>
      </c>
      <c r="BN30" s="931">
        <f t="shared" si="28"/>
        <v>9.8000000000000007</v>
      </c>
      <c r="BO30" s="931">
        <f t="shared" si="29"/>
        <v>3.3333333333333339</v>
      </c>
      <c r="BP30" s="1021">
        <f t="shared" si="30"/>
        <v>7.0000000000000009</v>
      </c>
      <c r="BQ30" s="1011">
        <f t="shared" si="31"/>
        <v>49.09</v>
      </c>
      <c r="BR30" s="668">
        <f t="shared" si="32"/>
        <v>27</v>
      </c>
      <c r="BS30" s="942">
        <v>34</v>
      </c>
      <c r="BT30" s="943" t="s">
        <v>284</v>
      </c>
      <c r="BU30" s="637" t="s">
        <v>1260</v>
      </c>
      <c r="BV30" s="1047" t="str">
        <f>VLOOKUP($B30,Tiers!$A:$K,11,FALSE)</f>
        <v>Tier 2</v>
      </c>
      <c r="BW30" s="622"/>
    </row>
    <row r="31" spans="1:75" ht="13.8" x14ac:dyDescent="0.3">
      <c r="A31" s="640">
        <v>34</v>
      </c>
      <c r="B31" s="600" t="s">
        <v>1347</v>
      </c>
      <c r="C31" s="574" t="s">
        <v>37</v>
      </c>
      <c r="D31" s="131" t="s">
        <v>1667</v>
      </c>
      <c r="E31" s="576" t="s">
        <v>1063</v>
      </c>
      <c r="F31" s="576" t="s">
        <v>795</v>
      </c>
      <c r="G31" s="414">
        <v>9813.6709289999999</v>
      </c>
      <c r="H31" s="586">
        <f>G31/5280</f>
        <v>1.858649797159091</v>
      </c>
      <c r="I31" s="585" t="s">
        <v>1481</v>
      </c>
      <c r="J31" s="587" t="s">
        <v>824</v>
      </c>
      <c r="K31" s="587" t="s">
        <v>824</v>
      </c>
      <c r="L31" s="587" t="s">
        <v>824</v>
      </c>
      <c r="M31" s="587" t="s">
        <v>824</v>
      </c>
      <c r="N31" s="588">
        <v>2</v>
      </c>
      <c r="O31" s="588">
        <v>2</v>
      </c>
      <c r="P31" s="589" t="s">
        <v>670</v>
      </c>
      <c r="Q31" s="573" t="str">
        <f t="shared" si="1"/>
        <v>M51b</v>
      </c>
      <c r="R31" s="890">
        <v>10</v>
      </c>
      <c r="S31" s="890">
        <v>1690</v>
      </c>
      <c r="T31" s="654">
        <v>0</v>
      </c>
      <c r="U31" s="649">
        <v>0</v>
      </c>
      <c r="V31" s="892">
        <v>0.56000000000000005</v>
      </c>
      <c r="W31" s="651">
        <v>0</v>
      </c>
      <c r="X31" s="649">
        <v>0</v>
      </c>
      <c r="Y31" s="891">
        <v>5</v>
      </c>
      <c r="Z31" s="890">
        <v>10</v>
      </c>
      <c r="AA31" s="649">
        <v>0</v>
      </c>
      <c r="AB31" s="891">
        <v>5</v>
      </c>
      <c r="AC31" s="890">
        <v>10</v>
      </c>
      <c r="AD31" s="891">
        <v>10</v>
      </c>
      <c r="AE31" s="891">
        <v>10</v>
      </c>
      <c r="AF31" s="891">
        <v>10</v>
      </c>
      <c r="AG31" s="891">
        <v>5</v>
      </c>
      <c r="AH31" s="654">
        <v>0</v>
      </c>
      <c r="AI31" s="656">
        <v>0</v>
      </c>
      <c r="AJ31" s="890">
        <v>4</v>
      </c>
      <c r="AK31" s="890">
        <v>10</v>
      </c>
      <c r="AL31" s="890">
        <v>10</v>
      </c>
      <c r="AM31" s="891">
        <v>5</v>
      </c>
      <c r="AN31" s="664">
        <f t="shared" si="2"/>
        <v>10</v>
      </c>
      <c r="AO31" s="664">
        <f t="shared" si="3"/>
        <v>2</v>
      </c>
      <c r="AP31" s="664">
        <f t="shared" si="4"/>
        <v>1</v>
      </c>
      <c r="AQ31" s="664">
        <f t="shared" si="5"/>
        <v>1</v>
      </c>
      <c r="AR31" s="664">
        <f t="shared" si="6"/>
        <v>4</v>
      </c>
      <c r="AS31" s="664">
        <f t="shared" si="7"/>
        <v>1</v>
      </c>
      <c r="AT31" s="664">
        <f t="shared" si="8"/>
        <v>1</v>
      </c>
      <c r="AU31" s="664">
        <f t="shared" si="9"/>
        <v>5</v>
      </c>
      <c r="AV31" s="664">
        <f t="shared" si="10"/>
        <v>10</v>
      </c>
      <c r="AW31" s="664">
        <f t="shared" si="11"/>
        <v>1</v>
      </c>
      <c r="AX31" s="664">
        <f t="shared" si="12"/>
        <v>5</v>
      </c>
      <c r="AY31" s="664">
        <f t="shared" si="13"/>
        <v>10</v>
      </c>
      <c r="AZ31" s="664">
        <f t="shared" si="14"/>
        <v>10</v>
      </c>
      <c r="BA31" s="664">
        <f t="shared" si="15"/>
        <v>10</v>
      </c>
      <c r="BB31" s="664">
        <f t="shared" si="16"/>
        <v>10</v>
      </c>
      <c r="BC31" s="664">
        <f t="shared" si="17"/>
        <v>5</v>
      </c>
      <c r="BD31" s="664">
        <f t="shared" si="18"/>
        <v>1</v>
      </c>
      <c r="BE31" s="664">
        <f t="shared" si="19"/>
        <v>1</v>
      </c>
      <c r="BF31" s="664">
        <f t="shared" si="20"/>
        <v>3</v>
      </c>
      <c r="BG31" s="664">
        <f t="shared" si="21"/>
        <v>10</v>
      </c>
      <c r="BH31" s="664">
        <f t="shared" si="22"/>
        <v>10</v>
      </c>
      <c r="BI31" s="1009">
        <f t="shared" si="23"/>
        <v>5</v>
      </c>
      <c r="BJ31" s="1020">
        <f t="shared" si="24"/>
        <v>9.1</v>
      </c>
      <c r="BK31" s="931">
        <f t="shared" si="25"/>
        <v>3.2</v>
      </c>
      <c r="BL31" s="931">
        <f t="shared" si="26"/>
        <v>4.5</v>
      </c>
      <c r="BM31" s="931">
        <f t="shared" si="27"/>
        <v>10.080000000000002</v>
      </c>
      <c r="BN31" s="931">
        <f t="shared" si="28"/>
        <v>11.66666666666667</v>
      </c>
      <c r="BO31" s="931">
        <f t="shared" si="29"/>
        <v>1.666666666666667</v>
      </c>
      <c r="BP31" s="1021">
        <f t="shared" si="30"/>
        <v>8.3333333333333357</v>
      </c>
      <c r="BQ31" s="1011">
        <f t="shared" si="31"/>
        <v>48.546666666666674</v>
      </c>
      <c r="BR31" s="668">
        <f t="shared" si="32"/>
        <v>28</v>
      </c>
      <c r="BS31" s="942">
        <v>18</v>
      </c>
      <c r="BT31" s="943" t="s">
        <v>341</v>
      </c>
      <c r="BU31" s="637" t="s">
        <v>1260</v>
      </c>
      <c r="BV31" s="1045" t="str">
        <f>VLOOKUP($B31,Tiers!$A:$K,11,FALSE)</f>
        <v>Tier 1</v>
      </c>
      <c r="BW31" s="622" t="s">
        <v>1368</v>
      </c>
    </row>
    <row r="32" spans="1:75" x14ac:dyDescent="0.25">
      <c r="A32" s="640">
        <v>33</v>
      </c>
      <c r="B32" s="600" t="s">
        <v>1346</v>
      </c>
      <c r="C32" s="574" t="s">
        <v>37</v>
      </c>
      <c r="D32" s="576" t="s">
        <v>1668</v>
      </c>
      <c r="E32" s="576" t="s">
        <v>621</v>
      </c>
      <c r="F32" s="576" t="s">
        <v>1348</v>
      </c>
      <c r="G32" s="578">
        <v>3949.3595620000001</v>
      </c>
      <c r="H32" s="579">
        <f>G32/5280</f>
        <v>0.74798476553030302</v>
      </c>
      <c r="I32" s="576" t="s">
        <v>1481</v>
      </c>
      <c r="J32" s="587" t="s">
        <v>824</v>
      </c>
      <c r="K32" s="587" t="s">
        <v>824</v>
      </c>
      <c r="L32" s="587" t="s">
        <v>824</v>
      </c>
      <c r="M32" s="587" t="s">
        <v>824</v>
      </c>
      <c r="N32" s="588">
        <v>2</v>
      </c>
      <c r="O32" s="588">
        <v>2</v>
      </c>
      <c r="P32" s="589" t="s">
        <v>670</v>
      </c>
      <c r="Q32" s="573" t="str">
        <f t="shared" si="1"/>
        <v>M51a</v>
      </c>
      <c r="R32" s="656">
        <v>0</v>
      </c>
      <c r="S32" s="890">
        <v>1690</v>
      </c>
      <c r="T32" s="891">
        <v>10</v>
      </c>
      <c r="U32" s="649">
        <v>0</v>
      </c>
      <c r="V32" s="892">
        <v>0.68</v>
      </c>
      <c r="W32" s="651">
        <v>0</v>
      </c>
      <c r="X32" s="649">
        <v>0</v>
      </c>
      <c r="Y32" s="649">
        <v>0</v>
      </c>
      <c r="Z32" s="890">
        <v>10</v>
      </c>
      <c r="AA32" s="649">
        <v>0</v>
      </c>
      <c r="AB32" s="891">
        <v>5</v>
      </c>
      <c r="AC32" s="890">
        <v>10</v>
      </c>
      <c r="AD32" s="891">
        <v>5</v>
      </c>
      <c r="AE32" s="891">
        <v>10</v>
      </c>
      <c r="AF32" s="891">
        <v>10</v>
      </c>
      <c r="AG32" s="891">
        <v>10</v>
      </c>
      <c r="AH32" s="654">
        <v>0</v>
      </c>
      <c r="AI32" s="656">
        <v>0</v>
      </c>
      <c r="AJ32" s="890">
        <v>5</v>
      </c>
      <c r="AK32" s="890">
        <v>10</v>
      </c>
      <c r="AL32" s="890">
        <v>10</v>
      </c>
      <c r="AM32" s="891">
        <v>5</v>
      </c>
      <c r="AN32" s="664">
        <f t="shared" si="2"/>
        <v>1</v>
      </c>
      <c r="AO32" s="664">
        <f t="shared" si="3"/>
        <v>2</v>
      </c>
      <c r="AP32" s="664">
        <f t="shared" si="4"/>
        <v>10</v>
      </c>
      <c r="AQ32" s="664">
        <f t="shared" si="5"/>
        <v>1</v>
      </c>
      <c r="AR32" s="664">
        <f t="shared" si="6"/>
        <v>4</v>
      </c>
      <c r="AS32" s="664">
        <f t="shared" si="7"/>
        <v>1</v>
      </c>
      <c r="AT32" s="664">
        <f t="shared" si="8"/>
        <v>1</v>
      </c>
      <c r="AU32" s="664">
        <f t="shared" si="9"/>
        <v>1</v>
      </c>
      <c r="AV32" s="664">
        <f t="shared" si="10"/>
        <v>10</v>
      </c>
      <c r="AW32" s="664">
        <f t="shared" si="11"/>
        <v>1</v>
      </c>
      <c r="AX32" s="664">
        <f t="shared" si="12"/>
        <v>5</v>
      </c>
      <c r="AY32" s="664">
        <f t="shared" si="13"/>
        <v>10</v>
      </c>
      <c r="AZ32" s="664">
        <f t="shared" si="14"/>
        <v>5</v>
      </c>
      <c r="BA32" s="664">
        <f t="shared" si="15"/>
        <v>10</v>
      </c>
      <c r="BB32" s="664">
        <f t="shared" si="16"/>
        <v>10</v>
      </c>
      <c r="BC32" s="664">
        <f t="shared" si="17"/>
        <v>10</v>
      </c>
      <c r="BD32" s="664">
        <f t="shared" si="18"/>
        <v>1</v>
      </c>
      <c r="BE32" s="664">
        <f t="shared" si="19"/>
        <v>1</v>
      </c>
      <c r="BF32" s="664">
        <f t="shared" si="20"/>
        <v>5</v>
      </c>
      <c r="BG32" s="664">
        <f t="shared" si="21"/>
        <v>10</v>
      </c>
      <c r="BH32" s="664">
        <f t="shared" si="22"/>
        <v>10</v>
      </c>
      <c r="BI32" s="1009">
        <f t="shared" si="23"/>
        <v>5</v>
      </c>
      <c r="BJ32" s="1020">
        <f t="shared" si="24"/>
        <v>9.1</v>
      </c>
      <c r="BK32" s="931">
        <f t="shared" si="25"/>
        <v>3.2</v>
      </c>
      <c r="BL32" s="931">
        <f t="shared" si="26"/>
        <v>1.5</v>
      </c>
      <c r="BM32" s="931">
        <f t="shared" si="27"/>
        <v>8.6800000000000015</v>
      </c>
      <c r="BN32" s="931">
        <f t="shared" si="28"/>
        <v>14.000000000000002</v>
      </c>
      <c r="BO32" s="931">
        <f t="shared" si="29"/>
        <v>2.3333333333333335</v>
      </c>
      <c r="BP32" s="1021">
        <f t="shared" si="30"/>
        <v>8.3333333333333357</v>
      </c>
      <c r="BQ32" s="1011">
        <f t="shared" si="31"/>
        <v>47.146666666666675</v>
      </c>
      <c r="BR32" s="668">
        <f t="shared" si="32"/>
        <v>29</v>
      </c>
      <c r="BS32" s="942">
        <v>18</v>
      </c>
      <c r="BT32" s="943" t="s">
        <v>341</v>
      </c>
      <c r="BU32" s="637" t="s">
        <v>1260</v>
      </c>
      <c r="BV32" s="1045" t="str">
        <f>VLOOKUP($B32,Tiers!$A:$K,11,FALSE)</f>
        <v>Tier 1</v>
      </c>
      <c r="BW32" s="622" t="s">
        <v>1368</v>
      </c>
    </row>
    <row r="33" spans="1:75" x14ac:dyDescent="0.25">
      <c r="A33" s="640">
        <v>25</v>
      </c>
      <c r="B33" s="574" t="s">
        <v>1128</v>
      </c>
      <c r="C33" s="574" t="s">
        <v>197</v>
      </c>
      <c r="D33" s="577" t="s">
        <v>1011</v>
      </c>
      <c r="E33" s="576" t="s">
        <v>1349</v>
      </c>
      <c r="F33" s="576" t="s">
        <v>614</v>
      </c>
      <c r="G33" s="577">
        <v>1</v>
      </c>
      <c r="H33" s="577">
        <v>1</v>
      </c>
      <c r="I33" s="577" t="s">
        <v>1646</v>
      </c>
      <c r="J33" s="276" t="s">
        <v>824</v>
      </c>
      <c r="K33" s="276" t="s">
        <v>824</v>
      </c>
      <c r="L33" s="276" t="s">
        <v>824</v>
      </c>
      <c r="M33" s="276" t="s">
        <v>824</v>
      </c>
      <c r="N33" s="580"/>
      <c r="O33" s="580"/>
      <c r="P33" s="580" t="s">
        <v>670</v>
      </c>
      <c r="Q33" s="573" t="str">
        <f t="shared" si="1"/>
        <v>M27</v>
      </c>
      <c r="R33" s="656">
        <v>0</v>
      </c>
      <c r="S33" s="657">
        <v>7700</v>
      </c>
      <c r="T33" s="654">
        <v>0</v>
      </c>
      <c r="U33" s="650">
        <v>1.74</v>
      </c>
      <c r="V33" s="652">
        <v>1.1399999999999999</v>
      </c>
      <c r="W33" s="654">
        <v>0</v>
      </c>
      <c r="X33" s="655">
        <v>10</v>
      </c>
      <c r="Y33" s="655">
        <v>10</v>
      </c>
      <c r="Z33" s="657">
        <v>10</v>
      </c>
      <c r="AA33" s="654">
        <v>0</v>
      </c>
      <c r="AB33" s="654">
        <v>0</v>
      </c>
      <c r="AC33" s="657">
        <v>5</v>
      </c>
      <c r="AD33" s="654">
        <v>0</v>
      </c>
      <c r="AE33" s="655">
        <v>10</v>
      </c>
      <c r="AF33" s="654">
        <v>0</v>
      </c>
      <c r="AG33" s="654">
        <v>0</v>
      </c>
      <c r="AH33" s="654">
        <v>0</v>
      </c>
      <c r="AI33" s="654">
        <v>0</v>
      </c>
      <c r="AJ33" s="657">
        <v>5</v>
      </c>
      <c r="AK33" s="657">
        <v>10</v>
      </c>
      <c r="AL33" s="656">
        <v>0</v>
      </c>
      <c r="AM33" s="654">
        <v>0</v>
      </c>
      <c r="AN33" s="664">
        <f t="shared" si="2"/>
        <v>1</v>
      </c>
      <c r="AO33" s="664">
        <f t="shared" si="3"/>
        <v>10</v>
      </c>
      <c r="AP33" s="664">
        <f t="shared" si="4"/>
        <v>1</v>
      </c>
      <c r="AQ33" s="664">
        <f t="shared" si="5"/>
        <v>4</v>
      </c>
      <c r="AR33" s="664">
        <f t="shared" si="6"/>
        <v>7</v>
      </c>
      <c r="AS33" s="664">
        <f t="shared" si="7"/>
        <v>1</v>
      </c>
      <c r="AT33" s="664">
        <f t="shared" si="8"/>
        <v>10</v>
      </c>
      <c r="AU33" s="664">
        <f t="shared" si="9"/>
        <v>10</v>
      </c>
      <c r="AV33" s="664">
        <f t="shared" si="10"/>
        <v>10</v>
      </c>
      <c r="AW33" s="664">
        <f t="shared" si="11"/>
        <v>1</v>
      </c>
      <c r="AX33" s="664">
        <f t="shared" si="12"/>
        <v>1</v>
      </c>
      <c r="AY33" s="664">
        <f t="shared" si="13"/>
        <v>5</v>
      </c>
      <c r="AZ33" s="664">
        <f t="shared" si="14"/>
        <v>1</v>
      </c>
      <c r="BA33" s="664">
        <f t="shared" si="15"/>
        <v>10</v>
      </c>
      <c r="BB33" s="664">
        <f t="shared" si="16"/>
        <v>1</v>
      </c>
      <c r="BC33" s="664">
        <f t="shared" si="17"/>
        <v>1</v>
      </c>
      <c r="BD33" s="664">
        <f t="shared" si="18"/>
        <v>1</v>
      </c>
      <c r="BE33" s="664">
        <f t="shared" si="19"/>
        <v>1</v>
      </c>
      <c r="BF33" s="664">
        <f t="shared" si="20"/>
        <v>5</v>
      </c>
      <c r="BG33" s="664">
        <f t="shared" si="21"/>
        <v>10</v>
      </c>
      <c r="BH33" s="664">
        <f t="shared" si="22"/>
        <v>1</v>
      </c>
      <c r="BI33" s="1009">
        <f t="shared" si="23"/>
        <v>1</v>
      </c>
      <c r="BJ33" s="1020">
        <f t="shared" si="24"/>
        <v>8.4</v>
      </c>
      <c r="BK33" s="931">
        <f t="shared" si="25"/>
        <v>6.4</v>
      </c>
      <c r="BL33" s="931">
        <f t="shared" si="26"/>
        <v>15</v>
      </c>
      <c r="BM33" s="931">
        <f t="shared" si="27"/>
        <v>5.0400000000000009</v>
      </c>
      <c r="BN33" s="931">
        <f t="shared" si="28"/>
        <v>5.6000000000000005</v>
      </c>
      <c r="BO33" s="931">
        <f t="shared" si="29"/>
        <v>2.3333333333333335</v>
      </c>
      <c r="BP33" s="1021">
        <f t="shared" si="30"/>
        <v>4</v>
      </c>
      <c r="BQ33" s="1011">
        <f t="shared" si="31"/>
        <v>46.773333333333341</v>
      </c>
      <c r="BR33" s="668">
        <f t="shared" si="32"/>
        <v>30</v>
      </c>
      <c r="BS33" s="944" t="s">
        <v>376</v>
      </c>
      <c r="BT33" s="941" t="s">
        <v>376</v>
      </c>
      <c r="BU33" s="637" t="s">
        <v>1260</v>
      </c>
      <c r="BV33" s="1047" t="str">
        <f>VLOOKUP($B33,Tiers!$A:$K,11,FALSE)</f>
        <v>Tier 2</v>
      </c>
      <c r="BW33" s="670"/>
    </row>
    <row r="34" spans="1:75" ht="13.8" x14ac:dyDescent="0.3">
      <c r="A34" s="640">
        <v>60</v>
      </c>
      <c r="B34" s="600" t="s">
        <v>933</v>
      </c>
      <c r="C34" s="574" t="s">
        <v>37</v>
      </c>
      <c r="D34" s="142" t="s">
        <v>1664</v>
      </c>
      <c r="E34" s="576" t="s">
        <v>975</v>
      </c>
      <c r="F34" s="576" t="s">
        <v>427</v>
      </c>
      <c r="G34" s="578">
        <v>2190</v>
      </c>
      <c r="H34" s="579">
        <f>G34/5280</f>
        <v>0.41477272727272729</v>
      </c>
      <c r="I34" s="576" t="s">
        <v>1487</v>
      </c>
      <c r="J34" s="580" t="s">
        <v>824</v>
      </c>
      <c r="K34" s="580"/>
      <c r="L34" s="580"/>
      <c r="M34" s="580"/>
      <c r="N34" s="581">
        <v>2</v>
      </c>
      <c r="O34" s="581">
        <v>3</v>
      </c>
      <c r="P34" s="583" t="s">
        <v>779</v>
      </c>
      <c r="Q34" s="573" t="str">
        <f t="shared" si="1"/>
        <v>M105</v>
      </c>
      <c r="R34" s="656">
        <v>0</v>
      </c>
      <c r="S34" s="657">
        <v>1820</v>
      </c>
      <c r="T34" s="654">
        <v>0</v>
      </c>
      <c r="U34" s="650">
        <v>2.08</v>
      </c>
      <c r="V34" s="652">
        <v>1.38</v>
      </c>
      <c r="W34" s="658">
        <v>5</v>
      </c>
      <c r="X34" s="654">
        <v>0</v>
      </c>
      <c r="Y34" s="655">
        <v>10</v>
      </c>
      <c r="Z34" s="657">
        <v>10</v>
      </c>
      <c r="AA34" s="656">
        <v>0</v>
      </c>
      <c r="AB34" s="654">
        <v>0</v>
      </c>
      <c r="AC34" s="657">
        <v>5</v>
      </c>
      <c r="AD34" s="655">
        <v>5</v>
      </c>
      <c r="AE34" s="655">
        <v>10</v>
      </c>
      <c r="AF34" s="654">
        <v>0</v>
      </c>
      <c r="AG34" s="655">
        <v>10</v>
      </c>
      <c r="AH34" s="654">
        <v>0</v>
      </c>
      <c r="AI34" s="656">
        <v>0</v>
      </c>
      <c r="AJ34" s="657">
        <v>5</v>
      </c>
      <c r="AK34" s="657">
        <v>5</v>
      </c>
      <c r="AL34" s="657">
        <v>5</v>
      </c>
      <c r="AM34" s="655">
        <v>10</v>
      </c>
      <c r="AN34" s="664">
        <f t="shared" si="2"/>
        <v>1</v>
      </c>
      <c r="AO34" s="664">
        <f t="shared" si="3"/>
        <v>2</v>
      </c>
      <c r="AP34" s="664">
        <f t="shared" si="4"/>
        <v>1</v>
      </c>
      <c r="AQ34" s="664">
        <f t="shared" si="5"/>
        <v>5</v>
      </c>
      <c r="AR34" s="664">
        <f t="shared" si="6"/>
        <v>9</v>
      </c>
      <c r="AS34" s="664">
        <f t="shared" si="7"/>
        <v>5</v>
      </c>
      <c r="AT34" s="664">
        <f t="shared" si="8"/>
        <v>1</v>
      </c>
      <c r="AU34" s="664">
        <f t="shared" si="9"/>
        <v>10</v>
      </c>
      <c r="AV34" s="664">
        <f t="shared" si="10"/>
        <v>10</v>
      </c>
      <c r="AW34" s="664">
        <f t="shared" si="11"/>
        <v>1</v>
      </c>
      <c r="AX34" s="664">
        <f t="shared" si="12"/>
        <v>1</v>
      </c>
      <c r="AY34" s="664">
        <f t="shared" si="13"/>
        <v>5</v>
      </c>
      <c r="AZ34" s="664">
        <f t="shared" si="14"/>
        <v>5</v>
      </c>
      <c r="BA34" s="664">
        <f t="shared" si="15"/>
        <v>10</v>
      </c>
      <c r="BB34" s="664">
        <f t="shared" si="16"/>
        <v>1</v>
      </c>
      <c r="BC34" s="664">
        <f t="shared" si="17"/>
        <v>10</v>
      </c>
      <c r="BD34" s="664">
        <f t="shared" si="18"/>
        <v>1</v>
      </c>
      <c r="BE34" s="664">
        <f t="shared" si="19"/>
        <v>1</v>
      </c>
      <c r="BF34" s="664">
        <f t="shared" si="20"/>
        <v>5</v>
      </c>
      <c r="BG34" s="664">
        <f t="shared" si="21"/>
        <v>5</v>
      </c>
      <c r="BH34" s="664">
        <f t="shared" si="22"/>
        <v>5</v>
      </c>
      <c r="BI34" s="1009">
        <f t="shared" si="23"/>
        <v>10</v>
      </c>
      <c r="BJ34" s="1020">
        <f t="shared" si="24"/>
        <v>2.8</v>
      </c>
      <c r="BK34" s="931">
        <f t="shared" si="25"/>
        <v>10.133333333333333</v>
      </c>
      <c r="BL34" s="931">
        <f t="shared" si="26"/>
        <v>8.25</v>
      </c>
      <c r="BM34" s="931">
        <f t="shared" si="27"/>
        <v>6.160000000000001</v>
      </c>
      <c r="BN34" s="931">
        <f t="shared" si="28"/>
        <v>9.8000000000000007</v>
      </c>
      <c r="BO34" s="931">
        <f t="shared" si="29"/>
        <v>2.3333333333333335</v>
      </c>
      <c r="BP34" s="1021">
        <f t="shared" si="30"/>
        <v>6.6666666666666679</v>
      </c>
      <c r="BQ34" s="1011">
        <f t="shared" si="31"/>
        <v>46.143333333333331</v>
      </c>
      <c r="BR34" s="668">
        <f t="shared" si="32"/>
        <v>31</v>
      </c>
      <c r="BS34" s="942" t="s">
        <v>376</v>
      </c>
      <c r="BT34" s="941" t="s">
        <v>376</v>
      </c>
      <c r="BU34" s="637" t="s">
        <v>1260</v>
      </c>
      <c r="BV34" s="1047" t="str">
        <f>VLOOKUP($B34,Tiers!$A:$K,11,FALSE)</f>
        <v>Tier 3</v>
      </c>
      <c r="BW34" s="670"/>
    </row>
    <row r="35" spans="1:75" x14ac:dyDescent="0.25">
      <c r="A35" s="640">
        <v>18</v>
      </c>
      <c r="B35" s="574" t="s">
        <v>1488</v>
      </c>
      <c r="C35" s="574"/>
      <c r="D35" s="577" t="s">
        <v>1489</v>
      </c>
      <c r="E35" s="576" t="s">
        <v>1491</v>
      </c>
      <c r="F35" s="576" t="s">
        <v>795</v>
      </c>
      <c r="G35" s="577">
        <v>1</v>
      </c>
      <c r="H35" s="577">
        <v>1</v>
      </c>
      <c r="I35" s="577" t="s">
        <v>1646</v>
      </c>
      <c r="J35" s="276"/>
      <c r="K35" s="276"/>
      <c r="L35" s="276"/>
      <c r="M35" s="276"/>
      <c r="N35" s="580"/>
      <c r="O35" s="580"/>
      <c r="P35" s="580"/>
      <c r="Q35" s="573" t="str">
        <f t="shared" si="1"/>
        <v>M20</v>
      </c>
      <c r="R35" s="658">
        <v>10</v>
      </c>
      <c r="S35" s="657">
        <v>3465</v>
      </c>
      <c r="T35" s="659">
        <v>10</v>
      </c>
      <c r="U35" s="649">
        <v>0</v>
      </c>
      <c r="V35" s="653">
        <v>1.0900000000000001</v>
      </c>
      <c r="W35" s="656">
        <v>0</v>
      </c>
      <c r="X35" s="654">
        <v>0</v>
      </c>
      <c r="Y35" s="655">
        <v>5</v>
      </c>
      <c r="Z35" s="658">
        <v>10</v>
      </c>
      <c r="AA35" s="654">
        <v>0</v>
      </c>
      <c r="AB35" s="659">
        <v>10</v>
      </c>
      <c r="AC35" s="658">
        <v>10</v>
      </c>
      <c r="AD35" s="654">
        <v>0</v>
      </c>
      <c r="AE35" s="659">
        <v>5</v>
      </c>
      <c r="AF35" s="654">
        <v>0</v>
      </c>
      <c r="AG35" s="659">
        <v>5</v>
      </c>
      <c r="AH35" s="654">
        <v>0</v>
      </c>
      <c r="AI35" s="656">
        <v>0</v>
      </c>
      <c r="AJ35" s="658">
        <v>3</v>
      </c>
      <c r="AK35" s="656">
        <v>0</v>
      </c>
      <c r="AL35" s="656">
        <v>0</v>
      </c>
      <c r="AM35" s="659">
        <v>10</v>
      </c>
      <c r="AN35" s="664">
        <f t="shared" si="2"/>
        <v>10</v>
      </c>
      <c r="AO35" s="664">
        <f t="shared" si="3"/>
        <v>5</v>
      </c>
      <c r="AP35" s="664">
        <f t="shared" si="4"/>
        <v>10</v>
      </c>
      <c r="AQ35" s="664">
        <f t="shared" si="5"/>
        <v>1</v>
      </c>
      <c r="AR35" s="664">
        <f t="shared" si="6"/>
        <v>7</v>
      </c>
      <c r="AS35" s="664">
        <f t="shared" si="7"/>
        <v>1</v>
      </c>
      <c r="AT35" s="664">
        <f t="shared" si="8"/>
        <v>1</v>
      </c>
      <c r="AU35" s="664">
        <f t="shared" si="9"/>
        <v>5</v>
      </c>
      <c r="AV35" s="664">
        <f t="shared" si="10"/>
        <v>10</v>
      </c>
      <c r="AW35" s="664">
        <f t="shared" si="11"/>
        <v>1</v>
      </c>
      <c r="AX35" s="664">
        <f t="shared" si="12"/>
        <v>10</v>
      </c>
      <c r="AY35" s="664">
        <f t="shared" si="13"/>
        <v>10</v>
      </c>
      <c r="AZ35" s="664">
        <f t="shared" si="14"/>
        <v>1</v>
      </c>
      <c r="BA35" s="664">
        <f t="shared" si="15"/>
        <v>5</v>
      </c>
      <c r="BB35" s="664">
        <f t="shared" si="16"/>
        <v>1</v>
      </c>
      <c r="BC35" s="664">
        <f t="shared" si="17"/>
        <v>5</v>
      </c>
      <c r="BD35" s="664">
        <f t="shared" si="18"/>
        <v>1</v>
      </c>
      <c r="BE35" s="664">
        <f t="shared" si="19"/>
        <v>1</v>
      </c>
      <c r="BF35" s="664">
        <f t="shared" si="20"/>
        <v>1</v>
      </c>
      <c r="BG35" s="664">
        <f t="shared" si="21"/>
        <v>1</v>
      </c>
      <c r="BH35" s="664">
        <f t="shared" si="22"/>
        <v>1</v>
      </c>
      <c r="BI35" s="1009">
        <f t="shared" si="23"/>
        <v>10</v>
      </c>
      <c r="BJ35" s="1020">
        <f t="shared" si="24"/>
        <v>17.5</v>
      </c>
      <c r="BK35" s="931">
        <f t="shared" si="25"/>
        <v>4.8</v>
      </c>
      <c r="BL35" s="931">
        <f t="shared" si="26"/>
        <v>4.5</v>
      </c>
      <c r="BM35" s="931">
        <f t="shared" si="27"/>
        <v>8.9600000000000009</v>
      </c>
      <c r="BN35" s="931">
        <f t="shared" si="28"/>
        <v>5.1333333333333329</v>
      </c>
      <c r="BO35" s="931">
        <f t="shared" si="29"/>
        <v>1</v>
      </c>
      <c r="BP35" s="1021">
        <f t="shared" si="30"/>
        <v>4</v>
      </c>
      <c r="BQ35" s="1011">
        <f t="shared" si="31"/>
        <v>45.893333333333338</v>
      </c>
      <c r="BR35" s="668">
        <f t="shared" si="32"/>
        <v>32</v>
      </c>
      <c r="BS35" s="944" t="s">
        <v>376</v>
      </c>
      <c r="BT35" s="941" t="s">
        <v>376</v>
      </c>
      <c r="BU35" s="637" t="s">
        <v>1260</v>
      </c>
      <c r="BV35" s="1045" t="str">
        <f>VLOOKUP($B35,Tiers!$A:$K,11,FALSE)</f>
        <v>Tier 1</v>
      </c>
      <c r="BW35" s="622" t="s">
        <v>1368</v>
      </c>
    </row>
    <row r="36" spans="1:75" x14ac:dyDescent="0.25">
      <c r="A36" s="641">
        <v>38</v>
      </c>
      <c r="B36" s="600" t="s">
        <v>913</v>
      </c>
      <c r="C36" s="574" t="s">
        <v>37</v>
      </c>
      <c r="D36" s="584" t="s">
        <v>593</v>
      </c>
      <c r="E36" s="576" t="s">
        <v>955</v>
      </c>
      <c r="F36" s="576" t="s">
        <v>956</v>
      </c>
      <c r="G36" s="578">
        <v>12079.7403042237</v>
      </c>
      <c r="H36" s="579">
        <f>G36/5280</f>
        <v>2.2878296030726704</v>
      </c>
      <c r="I36" s="576" t="s">
        <v>1487</v>
      </c>
      <c r="J36" s="580" t="s">
        <v>824</v>
      </c>
      <c r="K36" s="580"/>
      <c r="L36" s="580"/>
      <c r="M36" s="580"/>
      <c r="N36" s="581">
        <v>4</v>
      </c>
      <c r="O36" s="581">
        <v>6</v>
      </c>
      <c r="P36" s="583" t="s">
        <v>779</v>
      </c>
      <c r="Q36" s="573" t="str">
        <f t="shared" ref="Q36:Q67" si="34">B36</f>
        <v>M57</v>
      </c>
      <c r="R36" s="657">
        <v>10</v>
      </c>
      <c r="S36" s="657">
        <v>2720</v>
      </c>
      <c r="T36" s="655">
        <v>5</v>
      </c>
      <c r="U36" s="650">
        <v>1.57</v>
      </c>
      <c r="V36" s="652">
        <v>0.88</v>
      </c>
      <c r="W36" s="654">
        <v>0</v>
      </c>
      <c r="X36" s="655">
        <v>10</v>
      </c>
      <c r="Y36" s="654">
        <v>0</v>
      </c>
      <c r="Z36" s="656">
        <v>0</v>
      </c>
      <c r="AA36" s="654">
        <v>0</v>
      </c>
      <c r="AB36" s="656">
        <v>0</v>
      </c>
      <c r="AC36" s="654">
        <v>0</v>
      </c>
      <c r="AD36" s="655">
        <v>10</v>
      </c>
      <c r="AE36" s="655">
        <v>5</v>
      </c>
      <c r="AF36" s="659">
        <v>10</v>
      </c>
      <c r="AG36" s="655">
        <v>5</v>
      </c>
      <c r="AH36" s="654">
        <v>0</v>
      </c>
      <c r="AI36" s="654">
        <v>0</v>
      </c>
      <c r="AJ36" s="657">
        <v>4</v>
      </c>
      <c r="AK36" s="656">
        <v>0</v>
      </c>
      <c r="AL36" s="657">
        <v>10</v>
      </c>
      <c r="AM36" s="654">
        <v>0</v>
      </c>
      <c r="AN36" s="664">
        <f t="shared" ref="AN36:AN67" si="35">ROUND(IF((10*(R36-MIN(R$4:R$94))/(MAX(R$4:R$94)-MIN(R$4:R$94)))&lt;0.5,1,(10*(R36-MIN(R$4:R$94))/(MAX(R$4:R$94)-MIN(R$4:R$94)))),0)</f>
        <v>10</v>
      </c>
      <c r="AO36" s="664">
        <f t="shared" ref="AO36:AO67" si="36">ROUND(IF((10*(S36-MIN(S$4:S$94))/(MAX(S$4:S$94)-MIN(S$4:S$94)))&lt;0.5,1,(10*(S36-MIN(S$4:S$94))/(MAX(S$4:S$94)-MIN(S$4:S$94)))),0)</f>
        <v>4</v>
      </c>
      <c r="AP36" s="664">
        <f t="shared" ref="AP36:AP67" si="37">ROUND(IF((10*(T36-MIN(T$4:T$94))/(MAX(T$4:T$94)-MIN(T$4:T$94)))&lt;0.5,1,(10*(T36-MIN(T$4:T$94))/(MAX(T$4:T$94)-MIN(T$4:T$94)))),0)</f>
        <v>5</v>
      </c>
      <c r="AQ36" s="664">
        <f t="shared" ref="AQ36:AQ67" si="38">ROUND(IF((10*(U36-MIN(U$4:U$94))/(MAX(U$4:U$94)-MIN(U$4:U$94)))&lt;0.5,1,(10*(U36-MIN(U$4:U$94))/(MAX(U$4:U$94)-MIN(U$4:U$94)))),0)</f>
        <v>3</v>
      </c>
      <c r="AR36" s="664">
        <f t="shared" ref="AR36:AR67" si="39">ROUND(IF((10*(V36-MIN(V$4:V$94))/(MAX(V$4:V$94)-MIN(V$4:V$94)))&lt;0.5,1,(10*(V36-MIN(V$4:V$94))/(MAX(V$4:V$94)-MIN(V$4:V$94)))),0)</f>
        <v>6</v>
      </c>
      <c r="AS36" s="664">
        <f t="shared" ref="AS36:AS67" si="40">ROUND(IF((10*(W36-MIN(W$4:W$94))/(MAX(W$4:W$94)-MIN(W$4:W$94)))&lt;0.5,1,(10*(W36-MIN(W$4:W$94))/(MAX(W$4:W$94)-MIN(W$4:W$94)))),0)</f>
        <v>1</v>
      </c>
      <c r="AT36" s="664">
        <f t="shared" ref="AT36:AT67" si="41">ROUND(IF((10*(X36-MIN(X$4:X$94))/(MAX(X$4:X$94)-MIN(X$4:X$94)))&lt;0.5,1,(10*(X36-MIN(X$4:X$94))/(MAX(X$4:X$94)-MIN(X$4:X$94)))),0)</f>
        <v>10</v>
      </c>
      <c r="AU36" s="664">
        <f t="shared" ref="AU36:AU67" si="42">ROUND(IF((10*(Y36-MIN(Y$4:Y$94))/(MAX(Y$4:Y$94)-MIN(Y$4:Y$94)))&lt;0.5,1,(10*(Y36-MIN(Y$4:Y$94))/(MAX(Y$4:Y$94)-MIN(Y$4:Y$94)))),0)</f>
        <v>1</v>
      </c>
      <c r="AV36" s="664">
        <f t="shared" ref="AV36:AV67" si="43">ROUND(IF((10*(Z36-MIN(Z$4:Z$94))/(MAX(Z$4:Z$94)-MIN(Z$4:Z$94)))&lt;0.5,1,(10*(Z36-MIN(Z$4:Z$94))/(MAX(Z$4:Z$94)-MIN(Z$4:Z$94)))),0)</f>
        <v>1</v>
      </c>
      <c r="AW36" s="664">
        <f t="shared" ref="AW36:AW67" si="44">ROUND(IF((10*(AA36-MIN(AA$4:AA$94))/(MAX(AA$4:AA$94)-MIN(AA$4:AA$94)))&lt;0.5,1,(10*(AA36-MIN(AA$4:AA$94))/(MAX(AA$4:AA$94)-MIN(AA$4:AA$94)))),0)</f>
        <v>1</v>
      </c>
      <c r="AX36" s="664">
        <f t="shared" ref="AX36:AX67" si="45">ROUND(IF((10*(AB36-MIN(AB$4:AB$94))/(MAX(AB$4:AB$94)-MIN(AB$4:AB$94)))&lt;0.5,1,(10*(AB36-MIN(AB$4:AB$94))/(MAX(AB$4:AB$94)-MIN(AB$4:AB$94)))),0)</f>
        <v>1</v>
      </c>
      <c r="AY36" s="664">
        <f t="shared" ref="AY36:AY67" si="46">ROUND(IF((10*(AC36-MIN(AC$4:AC$94))/(MAX(AC$4:AC$94)-MIN(AC$4:AC$94)))&lt;0.5,1,(10*(AC36-MIN(AC$4:AC$94))/(MAX(AC$4:AC$94)-MIN(AC$4:AC$94)))),0)</f>
        <v>1</v>
      </c>
      <c r="AZ36" s="664">
        <f t="shared" ref="AZ36:AZ67" si="47">ROUND(IF((10*(AD36-MIN(AD$4:AD$94))/(MAX(AD$4:AD$94)-MIN(AD$4:AD$94)))&lt;0.5,1,(10*(AD36-MIN(AD$4:AD$94))/(MAX(AD$4:AD$94)-MIN(AD$4:AD$94)))),0)</f>
        <v>10</v>
      </c>
      <c r="BA36" s="664">
        <f t="shared" ref="BA36:BA67" si="48">ROUND(IF((10*(AE36-MIN(AE$4:AE$94))/(MAX(AE$4:AE$94)-MIN(AE$4:AE$94)))&lt;0.5,1,(10*(AE36-MIN(AE$4:AE$94))/(MAX(AE$4:AE$94)-MIN(AE$4:AE$94)))),0)</f>
        <v>5</v>
      </c>
      <c r="BB36" s="664">
        <f t="shared" ref="BB36:BB67" si="49">ROUND(IF((10*(AF36-MIN(AF$4:AF$94))/(MAX(AF$4:AF$94)-MIN(AF$4:AF$94)))&lt;0.5,1,(10*(AF36-MIN(AF$4:AF$94))/(MAX(AF$4:AF$94)-MIN(AF$4:AF$94)))),0)</f>
        <v>10</v>
      </c>
      <c r="BC36" s="664">
        <f t="shared" ref="BC36:BC67" si="50">ROUND(IF((10*(AG36-MIN(AG$4:AG$94))/(MAX(AG$4:AG$94)-MIN(AG$4:AG$94)))&lt;0.5,1,(10*(AG36-MIN(AG$4:AG$94))/(MAX(AG$4:AG$94)-MIN(AG$4:AG$94)))),0)</f>
        <v>5</v>
      </c>
      <c r="BD36" s="664">
        <f t="shared" ref="BD36:BD67" si="51">ROUND(IF((10*(AH36-MIN(AH$4:AH$94))/(MAX(AH$4:AH$94)-MIN(AH$4:AH$94)))&lt;0.5,1,(10*(AH36-MIN(AH$4:AH$94))/(MAX(AH$4:AH$94)-MIN(AH$4:AH$94)))),0)</f>
        <v>1</v>
      </c>
      <c r="BE36" s="664">
        <f t="shared" ref="BE36:BE67" si="52">ROUND(IF((10*(AI36-MIN(AI$4:AI$94))/(MAX(AI$4:AI$94)-MIN(AI$4:AI$94)))&lt;0.5,1,(10*(AI36-MIN(AI$4:AI$94))/(MAX(AI$4:AI$94)-MIN(AI$4:AI$94)))),0)</f>
        <v>1</v>
      </c>
      <c r="BF36" s="664">
        <f t="shared" ref="BF36:BF67" si="53">ROUND(IF((10*(AJ36-MIN(AJ$4:AJ$94))/(MAX(AJ$4:AJ$94)-MIN(AJ$4:AJ$94)))&lt;0.5,1,(10*(AJ36-MIN(AJ$4:AJ$94))/(MAX(AJ$4:AJ$94)-MIN(AJ$4:AJ$94)))),0)</f>
        <v>3</v>
      </c>
      <c r="BG36" s="664">
        <f t="shared" ref="BG36:BG67" si="54">ROUND(IF((10*(AK36-MIN(AK$4:AK$94))/(MAX(AK$4:AK$94)-MIN(AK$4:AK$94)))&lt;0.5,1,(10*(AK36-MIN(AK$4:AK$94))/(MAX(AK$4:AK$94)-MIN(AK$4:AK$94)))),0)</f>
        <v>1</v>
      </c>
      <c r="BH36" s="664">
        <f t="shared" ref="BH36:BH67" si="55">ROUND(IF((10*(AL36-MIN(AL$4:AL$94))/(MAX(AL$4:AL$94)-MIN(AL$4:AL$94)))&lt;0.5,1,(10*(AL36-MIN(AL$4:AL$94))/(MAX(AL$4:AL$94)-MIN(AL$4:AL$94)))),0)</f>
        <v>10</v>
      </c>
      <c r="BI36" s="1009">
        <f t="shared" ref="BI36:BI67" si="56">ROUND(IF((10*(AM36-MIN(AM$4:AM$94))/(MAX(AM$4:AM$94)-MIN(AM$4:AM$94)))&lt;0.5,1,(10*(AM36-MIN(AM$4:AM$94))/(MAX(AM$4:AM$94)-MIN(AM$4:AM$94)))),0)</f>
        <v>1</v>
      </c>
      <c r="BJ36" s="1020">
        <f t="shared" ref="BJ36:BJ67" si="57">AVERAGE($AN36:$AP36)*BJ$2*10</f>
        <v>13.299999999999999</v>
      </c>
      <c r="BK36" s="931">
        <f t="shared" ref="BK36:BK67" si="58">AVERAGE($AQ36:$AS36)*BK$2*10</f>
        <v>5.333333333333333</v>
      </c>
      <c r="BL36" s="931">
        <f t="shared" ref="BL36:BL67" si="59">AVERAGE($AT36:$AU36)*BL$2*10</f>
        <v>8.25</v>
      </c>
      <c r="BM36" s="931">
        <f t="shared" ref="BM36:BM67" si="60">AVERAGE($AV36:$AZ36)*BM$2*10</f>
        <v>3.92</v>
      </c>
      <c r="BN36" s="931">
        <f t="shared" ref="BN36:BN67" si="61">AVERAGE($BA36:$BC36)*BN$2*10</f>
        <v>9.3333333333333339</v>
      </c>
      <c r="BO36" s="931">
        <f t="shared" ref="BO36:BO67" si="62">AVERAGE($BD36:$BF36)*BO$2*10</f>
        <v>1.666666666666667</v>
      </c>
      <c r="BP36" s="1021">
        <f t="shared" ref="BP36:BP67" si="63">AVERAGE($BG36:$BI36)*BP$2*10</f>
        <v>4</v>
      </c>
      <c r="BQ36" s="1011">
        <f t="shared" ref="BQ36:BQ67" si="64">SUM(BJ36:BP36)</f>
        <v>45.803333333333335</v>
      </c>
      <c r="BR36" s="668">
        <f t="shared" ref="BR36:BR67" si="65">RANK(BQ36,BQ$4:BQ$94,0)</f>
        <v>33</v>
      </c>
      <c r="BS36" s="942">
        <v>49</v>
      </c>
      <c r="BT36" s="943" t="s">
        <v>284</v>
      </c>
      <c r="BU36" s="637" t="s">
        <v>1260</v>
      </c>
      <c r="BV36" s="1047" t="str">
        <f>VLOOKUP($B36,Tiers!$A:$K,11,FALSE)</f>
        <v>Tier 3</v>
      </c>
      <c r="BW36" s="622"/>
    </row>
    <row r="37" spans="1:75" x14ac:dyDescent="0.25">
      <c r="A37" s="640">
        <v>51</v>
      </c>
      <c r="B37" s="600" t="s">
        <v>925</v>
      </c>
      <c r="C37" s="574" t="s">
        <v>37</v>
      </c>
      <c r="D37" s="584" t="s">
        <v>281</v>
      </c>
      <c r="E37" s="576" t="s">
        <v>547</v>
      </c>
      <c r="F37" s="576" t="s">
        <v>859</v>
      </c>
      <c r="G37" s="578">
        <v>6785.4144573568301</v>
      </c>
      <c r="H37" s="579">
        <f>G37/5280</f>
        <v>1.2851163744993996</v>
      </c>
      <c r="I37" s="576" t="s">
        <v>1643</v>
      </c>
      <c r="J37" s="580"/>
      <c r="K37" s="580"/>
      <c r="L37" s="580" t="s">
        <v>824</v>
      </c>
      <c r="M37" s="580"/>
      <c r="N37" s="581">
        <v>2</v>
      </c>
      <c r="O37" s="581">
        <v>2</v>
      </c>
      <c r="P37" s="583" t="s">
        <v>670</v>
      </c>
      <c r="Q37" s="573" t="str">
        <f t="shared" si="34"/>
        <v>M70</v>
      </c>
      <c r="R37" s="656">
        <v>0</v>
      </c>
      <c r="S37" s="657">
        <v>4725</v>
      </c>
      <c r="T37" s="656">
        <v>0</v>
      </c>
      <c r="U37" s="649">
        <v>0</v>
      </c>
      <c r="V37" s="652">
        <v>1.44</v>
      </c>
      <c r="W37" s="659">
        <v>10</v>
      </c>
      <c r="X37" s="654">
        <v>0</v>
      </c>
      <c r="Y37" s="657">
        <v>10</v>
      </c>
      <c r="Z37" s="657">
        <v>10</v>
      </c>
      <c r="AA37" s="654">
        <v>0</v>
      </c>
      <c r="AB37" s="654">
        <v>0</v>
      </c>
      <c r="AC37" s="655">
        <v>10</v>
      </c>
      <c r="AD37" s="654">
        <v>0</v>
      </c>
      <c r="AE37" s="654">
        <v>0</v>
      </c>
      <c r="AF37" s="659">
        <v>10</v>
      </c>
      <c r="AG37" s="654">
        <v>0</v>
      </c>
      <c r="AH37" s="654">
        <v>0</v>
      </c>
      <c r="AI37" s="654">
        <v>0</v>
      </c>
      <c r="AJ37" s="657">
        <v>4</v>
      </c>
      <c r="AK37" s="657">
        <v>10</v>
      </c>
      <c r="AL37" s="657">
        <v>10</v>
      </c>
      <c r="AM37" s="654">
        <v>0</v>
      </c>
      <c r="AN37" s="664">
        <f t="shared" si="35"/>
        <v>1</v>
      </c>
      <c r="AO37" s="664">
        <f t="shared" si="36"/>
        <v>6</v>
      </c>
      <c r="AP37" s="664">
        <f t="shared" si="37"/>
        <v>1</v>
      </c>
      <c r="AQ37" s="664">
        <f t="shared" si="38"/>
        <v>1</v>
      </c>
      <c r="AR37" s="664">
        <f t="shared" si="39"/>
        <v>9</v>
      </c>
      <c r="AS37" s="664">
        <f t="shared" si="40"/>
        <v>10</v>
      </c>
      <c r="AT37" s="664">
        <f t="shared" si="41"/>
        <v>1</v>
      </c>
      <c r="AU37" s="664">
        <f t="shared" si="42"/>
        <v>10</v>
      </c>
      <c r="AV37" s="664">
        <f t="shared" si="43"/>
        <v>10</v>
      </c>
      <c r="AW37" s="664">
        <f t="shared" si="44"/>
        <v>1</v>
      </c>
      <c r="AX37" s="664">
        <f t="shared" si="45"/>
        <v>1</v>
      </c>
      <c r="AY37" s="664">
        <f t="shared" si="46"/>
        <v>10</v>
      </c>
      <c r="AZ37" s="664">
        <f t="shared" si="47"/>
        <v>1</v>
      </c>
      <c r="BA37" s="664">
        <f t="shared" si="48"/>
        <v>1</v>
      </c>
      <c r="BB37" s="664">
        <f t="shared" si="49"/>
        <v>10</v>
      </c>
      <c r="BC37" s="664">
        <f t="shared" si="50"/>
        <v>1</v>
      </c>
      <c r="BD37" s="664">
        <f t="shared" si="51"/>
        <v>1</v>
      </c>
      <c r="BE37" s="664">
        <f t="shared" si="52"/>
        <v>1</v>
      </c>
      <c r="BF37" s="664">
        <f t="shared" si="53"/>
        <v>3</v>
      </c>
      <c r="BG37" s="664">
        <f t="shared" si="54"/>
        <v>10</v>
      </c>
      <c r="BH37" s="664">
        <f t="shared" si="55"/>
        <v>10</v>
      </c>
      <c r="BI37" s="1009">
        <f t="shared" si="56"/>
        <v>1</v>
      </c>
      <c r="BJ37" s="1020">
        <f t="shared" si="57"/>
        <v>5.6</v>
      </c>
      <c r="BK37" s="931">
        <f t="shared" si="58"/>
        <v>10.666666666666666</v>
      </c>
      <c r="BL37" s="931">
        <f t="shared" si="59"/>
        <v>8.25</v>
      </c>
      <c r="BM37" s="931">
        <f t="shared" si="60"/>
        <v>6.44</v>
      </c>
      <c r="BN37" s="931">
        <f t="shared" si="61"/>
        <v>5.6000000000000005</v>
      </c>
      <c r="BO37" s="931">
        <f t="shared" si="62"/>
        <v>1.666666666666667</v>
      </c>
      <c r="BP37" s="1021">
        <f t="shared" si="63"/>
        <v>7.0000000000000009</v>
      </c>
      <c r="BQ37" s="1011">
        <f t="shared" si="64"/>
        <v>45.223333333333329</v>
      </c>
      <c r="BR37" s="668">
        <f t="shared" si="65"/>
        <v>34</v>
      </c>
      <c r="BS37" s="942">
        <v>16</v>
      </c>
      <c r="BT37" s="943" t="s">
        <v>279</v>
      </c>
      <c r="BU37" s="637" t="s">
        <v>1260</v>
      </c>
      <c r="BV37" s="1047" t="str">
        <f>VLOOKUP($B37,Tiers!$A:$K,11,FALSE)</f>
        <v>Tier 3</v>
      </c>
      <c r="BW37" s="622"/>
    </row>
    <row r="38" spans="1:75" x14ac:dyDescent="0.25">
      <c r="A38" s="640">
        <v>10</v>
      </c>
      <c r="B38" s="574" t="s">
        <v>1113</v>
      </c>
      <c r="C38" s="574" t="s">
        <v>197</v>
      </c>
      <c r="D38" s="577" t="s">
        <v>1367</v>
      </c>
      <c r="E38" s="576" t="s">
        <v>1632</v>
      </c>
      <c r="F38" s="576" t="s">
        <v>536</v>
      </c>
      <c r="G38" s="577">
        <v>1</v>
      </c>
      <c r="H38" s="577">
        <v>1</v>
      </c>
      <c r="I38" s="577" t="s">
        <v>1049</v>
      </c>
      <c r="J38" s="276" t="s">
        <v>824</v>
      </c>
      <c r="K38" s="276" t="s">
        <v>824</v>
      </c>
      <c r="L38" s="276" t="s">
        <v>824</v>
      </c>
      <c r="M38" s="276" t="s">
        <v>824</v>
      </c>
      <c r="N38" s="580"/>
      <c r="O38" s="580"/>
      <c r="P38" s="580" t="s">
        <v>670</v>
      </c>
      <c r="Q38" s="573" t="str">
        <f t="shared" si="34"/>
        <v>M11</v>
      </c>
      <c r="R38" s="656">
        <v>0</v>
      </c>
      <c r="S38" s="657">
        <v>3955</v>
      </c>
      <c r="T38" s="654">
        <v>0</v>
      </c>
      <c r="U38" s="650">
        <v>1</v>
      </c>
      <c r="V38" s="652">
        <v>1.1399999999999999</v>
      </c>
      <c r="W38" s="658">
        <v>5</v>
      </c>
      <c r="X38" s="655">
        <v>10</v>
      </c>
      <c r="Y38" s="654">
        <v>0</v>
      </c>
      <c r="Z38" s="657">
        <v>10</v>
      </c>
      <c r="AA38" s="654">
        <v>0</v>
      </c>
      <c r="AB38" s="654">
        <v>0</v>
      </c>
      <c r="AC38" s="657">
        <v>5</v>
      </c>
      <c r="AD38" s="654">
        <v>0</v>
      </c>
      <c r="AE38" s="655">
        <v>10</v>
      </c>
      <c r="AF38" s="654">
        <v>0</v>
      </c>
      <c r="AG38" s="655">
        <v>10</v>
      </c>
      <c r="AH38" s="654">
        <v>0</v>
      </c>
      <c r="AI38" s="656">
        <v>0</v>
      </c>
      <c r="AJ38" s="657">
        <v>5</v>
      </c>
      <c r="AK38" s="657">
        <v>10</v>
      </c>
      <c r="AL38" s="657">
        <v>10</v>
      </c>
      <c r="AM38" s="654">
        <v>0</v>
      </c>
      <c r="AN38" s="664">
        <f t="shared" si="35"/>
        <v>1</v>
      </c>
      <c r="AO38" s="664">
        <f t="shared" si="36"/>
        <v>5</v>
      </c>
      <c r="AP38" s="664">
        <f t="shared" si="37"/>
        <v>1</v>
      </c>
      <c r="AQ38" s="664">
        <f t="shared" si="38"/>
        <v>2</v>
      </c>
      <c r="AR38" s="664">
        <f t="shared" si="39"/>
        <v>7</v>
      </c>
      <c r="AS38" s="664">
        <f t="shared" si="40"/>
        <v>5</v>
      </c>
      <c r="AT38" s="664">
        <f t="shared" si="41"/>
        <v>10</v>
      </c>
      <c r="AU38" s="664">
        <f t="shared" si="42"/>
        <v>1</v>
      </c>
      <c r="AV38" s="664">
        <f t="shared" si="43"/>
        <v>10</v>
      </c>
      <c r="AW38" s="664">
        <f t="shared" si="44"/>
        <v>1</v>
      </c>
      <c r="AX38" s="664">
        <f t="shared" si="45"/>
        <v>1</v>
      </c>
      <c r="AY38" s="664">
        <f t="shared" si="46"/>
        <v>5</v>
      </c>
      <c r="AZ38" s="664">
        <f t="shared" si="47"/>
        <v>1</v>
      </c>
      <c r="BA38" s="664">
        <f t="shared" si="48"/>
        <v>10</v>
      </c>
      <c r="BB38" s="664">
        <f t="shared" si="49"/>
        <v>1</v>
      </c>
      <c r="BC38" s="664">
        <f t="shared" si="50"/>
        <v>10</v>
      </c>
      <c r="BD38" s="664">
        <f t="shared" si="51"/>
        <v>1</v>
      </c>
      <c r="BE38" s="664">
        <f t="shared" si="52"/>
        <v>1</v>
      </c>
      <c r="BF38" s="664">
        <f t="shared" si="53"/>
        <v>5</v>
      </c>
      <c r="BG38" s="664">
        <f t="shared" si="54"/>
        <v>10</v>
      </c>
      <c r="BH38" s="664">
        <f t="shared" si="55"/>
        <v>10</v>
      </c>
      <c r="BI38" s="1009">
        <f t="shared" si="56"/>
        <v>1</v>
      </c>
      <c r="BJ38" s="1020">
        <f t="shared" si="57"/>
        <v>4.9000000000000004</v>
      </c>
      <c r="BK38" s="931">
        <f t="shared" si="58"/>
        <v>7.4666666666666668</v>
      </c>
      <c r="BL38" s="931">
        <f t="shared" si="59"/>
        <v>8.25</v>
      </c>
      <c r="BM38" s="931">
        <f t="shared" si="60"/>
        <v>5.0400000000000009</v>
      </c>
      <c r="BN38" s="931">
        <f t="shared" si="61"/>
        <v>9.8000000000000007</v>
      </c>
      <c r="BO38" s="931">
        <f t="shared" si="62"/>
        <v>2.3333333333333335</v>
      </c>
      <c r="BP38" s="1021">
        <f t="shared" si="63"/>
        <v>7.0000000000000009</v>
      </c>
      <c r="BQ38" s="1011">
        <f t="shared" si="64"/>
        <v>44.79</v>
      </c>
      <c r="BR38" s="668">
        <f t="shared" si="65"/>
        <v>35</v>
      </c>
      <c r="BS38" s="944" t="s">
        <v>376</v>
      </c>
      <c r="BT38" s="941" t="s">
        <v>376</v>
      </c>
      <c r="BU38" s="637" t="s">
        <v>1260</v>
      </c>
      <c r="BV38" s="1046" t="str">
        <f>VLOOKUP($B38,Tiers!$A:$K,11,FALSE)</f>
        <v>Tier 2</v>
      </c>
      <c r="BW38" s="670" t="s">
        <v>1415</v>
      </c>
    </row>
    <row r="39" spans="1:75" x14ac:dyDescent="0.25">
      <c r="A39" s="642">
        <v>101</v>
      </c>
      <c r="B39" s="600" t="s">
        <v>938</v>
      </c>
      <c r="C39" s="574" t="s">
        <v>360</v>
      </c>
      <c r="D39" s="576" t="s">
        <v>1684</v>
      </c>
      <c r="E39" s="576" t="s">
        <v>1686</v>
      </c>
      <c r="F39" s="576" t="s">
        <v>376</v>
      </c>
      <c r="G39" s="578" t="s">
        <v>376</v>
      </c>
      <c r="H39" s="579" t="s">
        <v>376</v>
      </c>
      <c r="I39" s="576" t="s">
        <v>573</v>
      </c>
      <c r="J39" s="580" t="s">
        <v>824</v>
      </c>
      <c r="K39" s="580"/>
      <c r="L39" s="580"/>
      <c r="M39" s="580"/>
      <c r="N39" s="581"/>
      <c r="O39" s="581"/>
      <c r="P39" s="583"/>
      <c r="Q39" s="573" t="str">
        <f t="shared" si="34"/>
        <v>C1</v>
      </c>
      <c r="R39" s="656">
        <v>0</v>
      </c>
      <c r="S39" s="656">
        <v>0</v>
      </c>
      <c r="T39" s="655">
        <v>10</v>
      </c>
      <c r="U39" s="650">
        <v>1.07</v>
      </c>
      <c r="V39" s="651">
        <v>0</v>
      </c>
      <c r="W39" s="656">
        <v>0</v>
      </c>
      <c r="X39" s="655">
        <v>10</v>
      </c>
      <c r="Y39" s="654">
        <v>0</v>
      </c>
      <c r="Z39" s="656">
        <v>0</v>
      </c>
      <c r="AA39" s="654">
        <v>0</v>
      </c>
      <c r="AB39" s="654">
        <v>0</v>
      </c>
      <c r="AC39" s="656">
        <v>0</v>
      </c>
      <c r="AD39" s="654">
        <v>0</v>
      </c>
      <c r="AE39" s="655">
        <v>10</v>
      </c>
      <c r="AF39" s="655">
        <v>10</v>
      </c>
      <c r="AG39" s="654">
        <v>0</v>
      </c>
      <c r="AH39" s="654">
        <v>0</v>
      </c>
      <c r="AI39" s="657">
        <v>10</v>
      </c>
      <c r="AJ39" s="657">
        <v>4</v>
      </c>
      <c r="AK39" s="657">
        <v>10</v>
      </c>
      <c r="AL39" s="657">
        <v>10</v>
      </c>
      <c r="AM39" s="655">
        <v>10</v>
      </c>
      <c r="AN39" s="664">
        <f t="shared" si="35"/>
        <v>1</v>
      </c>
      <c r="AO39" s="664">
        <f t="shared" si="36"/>
        <v>1</v>
      </c>
      <c r="AP39" s="664">
        <f t="shared" si="37"/>
        <v>10</v>
      </c>
      <c r="AQ39" s="664">
        <f t="shared" si="38"/>
        <v>2</v>
      </c>
      <c r="AR39" s="664">
        <f t="shared" si="39"/>
        <v>1</v>
      </c>
      <c r="AS39" s="664">
        <f t="shared" si="40"/>
        <v>1</v>
      </c>
      <c r="AT39" s="664">
        <f t="shared" si="41"/>
        <v>10</v>
      </c>
      <c r="AU39" s="664">
        <f t="shared" si="42"/>
        <v>1</v>
      </c>
      <c r="AV39" s="664">
        <f t="shared" si="43"/>
        <v>1</v>
      </c>
      <c r="AW39" s="664">
        <f t="shared" si="44"/>
        <v>1</v>
      </c>
      <c r="AX39" s="664">
        <f t="shared" si="45"/>
        <v>1</v>
      </c>
      <c r="AY39" s="664">
        <f t="shared" si="46"/>
        <v>1</v>
      </c>
      <c r="AZ39" s="664">
        <f t="shared" si="47"/>
        <v>1</v>
      </c>
      <c r="BA39" s="664">
        <f t="shared" si="48"/>
        <v>10</v>
      </c>
      <c r="BB39" s="664">
        <f t="shared" si="49"/>
        <v>10</v>
      </c>
      <c r="BC39" s="664">
        <f t="shared" si="50"/>
        <v>1</v>
      </c>
      <c r="BD39" s="664">
        <f t="shared" si="51"/>
        <v>1</v>
      </c>
      <c r="BE39" s="664">
        <f t="shared" si="52"/>
        <v>10</v>
      </c>
      <c r="BF39" s="664">
        <f t="shared" si="53"/>
        <v>3</v>
      </c>
      <c r="BG39" s="664">
        <f t="shared" si="54"/>
        <v>10</v>
      </c>
      <c r="BH39" s="664">
        <f t="shared" si="55"/>
        <v>10</v>
      </c>
      <c r="BI39" s="1009">
        <f t="shared" si="56"/>
        <v>10</v>
      </c>
      <c r="BJ39" s="1020">
        <f t="shared" si="57"/>
        <v>8.4</v>
      </c>
      <c r="BK39" s="931">
        <f t="shared" si="58"/>
        <v>2.1333333333333333</v>
      </c>
      <c r="BL39" s="931">
        <f t="shared" si="59"/>
        <v>8.25</v>
      </c>
      <c r="BM39" s="931">
        <f t="shared" si="60"/>
        <v>1.4000000000000001</v>
      </c>
      <c r="BN39" s="931">
        <f t="shared" si="61"/>
        <v>9.8000000000000007</v>
      </c>
      <c r="BO39" s="931">
        <f t="shared" si="62"/>
        <v>4.666666666666667</v>
      </c>
      <c r="BP39" s="1021">
        <f t="shared" si="63"/>
        <v>10</v>
      </c>
      <c r="BQ39" s="1011">
        <f t="shared" si="64"/>
        <v>44.65</v>
      </c>
      <c r="BR39" s="668">
        <f t="shared" si="65"/>
        <v>36</v>
      </c>
      <c r="BS39" s="942">
        <v>5</v>
      </c>
      <c r="BT39" s="941" t="s">
        <v>376</v>
      </c>
      <c r="BU39" s="637" t="s">
        <v>1260</v>
      </c>
      <c r="BV39" s="1044" t="str">
        <f>VLOOKUP($B39,Tiers!$A:$K,11,FALSE)</f>
        <v>Tier 1</v>
      </c>
      <c r="BW39" s="670" t="s">
        <v>1414</v>
      </c>
    </row>
    <row r="40" spans="1:75" x14ac:dyDescent="0.25">
      <c r="A40" s="640">
        <v>36</v>
      </c>
      <c r="B40" s="600" t="s">
        <v>984</v>
      </c>
      <c r="C40" s="574" t="s">
        <v>37</v>
      </c>
      <c r="D40" s="576" t="s">
        <v>1083</v>
      </c>
      <c r="E40" s="576" t="s">
        <v>733</v>
      </c>
      <c r="F40" s="576" t="s">
        <v>781</v>
      </c>
      <c r="G40" s="578">
        <v>4287.5270879999998</v>
      </c>
      <c r="H40" s="579">
        <f>G40/5280</f>
        <v>0.81203164545454543</v>
      </c>
      <c r="I40" s="576" t="s">
        <v>1644</v>
      </c>
      <c r="J40" s="580" t="s">
        <v>824</v>
      </c>
      <c r="K40" s="580"/>
      <c r="L40" s="580"/>
      <c r="M40" s="580"/>
      <c r="N40" s="581">
        <v>3</v>
      </c>
      <c r="O40" s="581">
        <v>5</v>
      </c>
      <c r="P40" s="583" t="s">
        <v>779</v>
      </c>
      <c r="Q40" s="573" t="str">
        <f t="shared" si="34"/>
        <v>M52b</v>
      </c>
      <c r="R40" s="656">
        <v>0</v>
      </c>
      <c r="S40" s="657">
        <v>3465</v>
      </c>
      <c r="T40" s="654">
        <v>0</v>
      </c>
      <c r="U40" s="649">
        <v>0</v>
      </c>
      <c r="V40" s="652">
        <v>1.34</v>
      </c>
      <c r="W40" s="658">
        <v>10</v>
      </c>
      <c r="X40" s="654">
        <v>0</v>
      </c>
      <c r="Y40" s="654">
        <v>0</v>
      </c>
      <c r="Z40" s="657">
        <v>10</v>
      </c>
      <c r="AA40" s="654">
        <v>0</v>
      </c>
      <c r="AB40" s="654">
        <v>0</v>
      </c>
      <c r="AC40" s="657">
        <v>10</v>
      </c>
      <c r="AD40" s="655">
        <v>10</v>
      </c>
      <c r="AE40" s="655">
        <v>10</v>
      </c>
      <c r="AF40" s="654">
        <v>0</v>
      </c>
      <c r="AG40" s="654">
        <v>0</v>
      </c>
      <c r="AH40" s="654">
        <v>0</v>
      </c>
      <c r="AI40" s="657">
        <v>10</v>
      </c>
      <c r="AJ40" s="657">
        <v>4</v>
      </c>
      <c r="AK40" s="657">
        <v>10</v>
      </c>
      <c r="AL40" s="657">
        <v>5</v>
      </c>
      <c r="AM40" s="655">
        <v>10</v>
      </c>
      <c r="AN40" s="664">
        <f t="shared" si="35"/>
        <v>1</v>
      </c>
      <c r="AO40" s="664">
        <f t="shared" si="36"/>
        <v>5</v>
      </c>
      <c r="AP40" s="664">
        <f t="shared" si="37"/>
        <v>1</v>
      </c>
      <c r="AQ40" s="664">
        <f t="shared" si="38"/>
        <v>1</v>
      </c>
      <c r="AR40" s="664">
        <f t="shared" si="39"/>
        <v>9</v>
      </c>
      <c r="AS40" s="664">
        <f t="shared" si="40"/>
        <v>10</v>
      </c>
      <c r="AT40" s="664">
        <f t="shared" si="41"/>
        <v>1</v>
      </c>
      <c r="AU40" s="664">
        <f t="shared" si="42"/>
        <v>1</v>
      </c>
      <c r="AV40" s="664">
        <f t="shared" si="43"/>
        <v>10</v>
      </c>
      <c r="AW40" s="664">
        <f t="shared" si="44"/>
        <v>1</v>
      </c>
      <c r="AX40" s="664">
        <f t="shared" si="45"/>
        <v>1</v>
      </c>
      <c r="AY40" s="664">
        <f t="shared" si="46"/>
        <v>10</v>
      </c>
      <c r="AZ40" s="664">
        <f t="shared" si="47"/>
        <v>10</v>
      </c>
      <c r="BA40" s="664">
        <f t="shared" si="48"/>
        <v>10</v>
      </c>
      <c r="BB40" s="664">
        <f t="shared" si="49"/>
        <v>1</v>
      </c>
      <c r="BC40" s="664">
        <f t="shared" si="50"/>
        <v>1</v>
      </c>
      <c r="BD40" s="664">
        <f t="shared" si="51"/>
        <v>1</v>
      </c>
      <c r="BE40" s="664">
        <f t="shared" si="52"/>
        <v>10</v>
      </c>
      <c r="BF40" s="664">
        <f t="shared" si="53"/>
        <v>3</v>
      </c>
      <c r="BG40" s="664">
        <f t="shared" si="54"/>
        <v>10</v>
      </c>
      <c r="BH40" s="664">
        <f t="shared" si="55"/>
        <v>5</v>
      </c>
      <c r="BI40" s="1009">
        <f t="shared" si="56"/>
        <v>10</v>
      </c>
      <c r="BJ40" s="1020">
        <f t="shared" si="57"/>
        <v>4.9000000000000004</v>
      </c>
      <c r="BK40" s="931">
        <f t="shared" si="58"/>
        <v>10.666666666666666</v>
      </c>
      <c r="BL40" s="931">
        <f t="shared" si="59"/>
        <v>1.5</v>
      </c>
      <c r="BM40" s="931">
        <f t="shared" si="60"/>
        <v>8.9600000000000009</v>
      </c>
      <c r="BN40" s="931">
        <f t="shared" si="61"/>
        <v>5.6000000000000005</v>
      </c>
      <c r="BO40" s="931">
        <f t="shared" si="62"/>
        <v>4.666666666666667</v>
      </c>
      <c r="BP40" s="1021">
        <f t="shared" si="63"/>
        <v>8.3333333333333357</v>
      </c>
      <c r="BQ40" s="1011">
        <f t="shared" si="64"/>
        <v>44.626666666666672</v>
      </c>
      <c r="BR40" s="668">
        <f t="shared" si="65"/>
        <v>37</v>
      </c>
      <c r="BS40" s="942" t="s">
        <v>376</v>
      </c>
      <c r="BT40" s="941" t="s">
        <v>376</v>
      </c>
      <c r="BU40" s="637" t="s">
        <v>1260</v>
      </c>
      <c r="BV40" s="1047" t="str">
        <f>VLOOKUP($B40,Tiers!$A:$K,11,FALSE)</f>
        <v>Tier 4</v>
      </c>
      <c r="BW40" s="670"/>
    </row>
    <row r="41" spans="1:75" x14ac:dyDescent="0.25">
      <c r="A41" s="641">
        <v>74</v>
      </c>
      <c r="B41" s="600" t="s">
        <v>1360</v>
      </c>
      <c r="C41" s="574" t="s">
        <v>37</v>
      </c>
      <c r="D41" s="576" t="s">
        <v>1362</v>
      </c>
      <c r="E41" s="576" t="s">
        <v>782</v>
      </c>
      <c r="F41" s="576" t="s">
        <v>871</v>
      </c>
      <c r="G41" s="578">
        <v>2243.614251</v>
      </c>
      <c r="H41" s="579">
        <f>G41/5280</f>
        <v>0.42492694147727272</v>
      </c>
      <c r="I41" s="576" t="s">
        <v>1643</v>
      </c>
      <c r="J41" s="580"/>
      <c r="K41" s="580" t="s">
        <v>824</v>
      </c>
      <c r="L41" s="580" t="s">
        <v>824</v>
      </c>
      <c r="M41" s="580"/>
      <c r="N41" s="582" t="s">
        <v>262</v>
      </c>
      <c r="O41" s="581" t="s">
        <v>262</v>
      </c>
      <c r="P41" s="583" t="s">
        <v>670</v>
      </c>
      <c r="Q41" s="573" t="str">
        <f t="shared" si="34"/>
        <v>M122</v>
      </c>
      <c r="R41" s="656">
        <v>0</v>
      </c>
      <c r="S41" s="656">
        <v>0</v>
      </c>
      <c r="T41" s="659">
        <v>10</v>
      </c>
      <c r="U41" s="649">
        <v>0</v>
      </c>
      <c r="V41" s="906">
        <v>0.5</v>
      </c>
      <c r="W41" s="651">
        <v>0</v>
      </c>
      <c r="X41" s="654">
        <v>0</v>
      </c>
      <c r="Y41" s="654">
        <v>0</v>
      </c>
      <c r="Z41" s="658">
        <v>10</v>
      </c>
      <c r="AA41" s="659">
        <v>5</v>
      </c>
      <c r="AB41" s="659">
        <v>10</v>
      </c>
      <c r="AC41" s="658">
        <v>10</v>
      </c>
      <c r="AD41" s="659">
        <v>10</v>
      </c>
      <c r="AE41" s="659">
        <v>10</v>
      </c>
      <c r="AF41" s="654">
        <v>0</v>
      </c>
      <c r="AG41" s="659">
        <v>5</v>
      </c>
      <c r="AH41" s="654">
        <v>0</v>
      </c>
      <c r="AI41" s="656">
        <v>0</v>
      </c>
      <c r="AJ41" s="658">
        <v>4</v>
      </c>
      <c r="AK41" s="657">
        <v>10</v>
      </c>
      <c r="AL41" s="658">
        <v>10</v>
      </c>
      <c r="AM41" s="659">
        <v>10</v>
      </c>
      <c r="AN41" s="664">
        <f t="shared" si="35"/>
        <v>1</v>
      </c>
      <c r="AO41" s="664">
        <f t="shared" si="36"/>
        <v>1</v>
      </c>
      <c r="AP41" s="664">
        <f t="shared" si="37"/>
        <v>10</v>
      </c>
      <c r="AQ41" s="664">
        <f t="shared" si="38"/>
        <v>1</v>
      </c>
      <c r="AR41" s="664">
        <f t="shared" si="39"/>
        <v>3</v>
      </c>
      <c r="AS41" s="664">
        <f t="shared" si="40"/>
        <v>1</v>
      </c>
      <c r="AT41" s="664">
        <f t="shared" si="41"/>
        <v>1</v>
      </c>
      <c r="AU41" s="664">
        <f t="shared" si="42"/>
        <v>1</v>
      </c>
      <c r="AV41" s="664">
        <f t="shared" si="43"/>
        <v>10</v>
      </c>
      <c r="AW41" s="664">
        <f t="shared" si="44"/>
        <v>5</v>
      </c>
      <c r="AX41" s="664">
        <f t="shared" si="45"/>
        <v>10</v>
      </c>
      <c r="AY41" s="664">
        <f t="shared" si="46"/>
        <v>10</v>
      </c>
      <c r="AZ41" s="664">
        <f t="shared" si="47"/>
        <v>10</v>
      </c>
      <c r="BA41" s="664">
        <f t="shared" si="48"/>
        <v>10</v>
      </c>
      <c r="BB41" s="664">
        <f t="shared" si="49"/>
        <v>1</v>
      </c>
      <c r="BC41" s="664">
        <f t="shared" si="50"/>
        <v>5</v>
      </c>
      <c r="BD41" s="664">
        <f t="shared" si="51"/>
        <v>1</v>
      </c>
      <c r="BE41" s="664">
        <f t="shared" si="52"/>
        <v>1</v>
      </c>
      <c r="BF41" s="664">
        <f t="shared" si="53"/>
        <v>3</v>
      </c>
      <c r="BG41" s="664">
        <f t="shared" si="54"/>
        <v>10</v>
      </c>
      <c r="BH41" s="664">
        <f t="shared" si="55"/>
        <v>10</v>
      </c>
      <c r="BI41" s="1009">
        <f t="shared" si="56"/>
        <v>10</v>
      </c>
      <c r="BJ41" s="1020">
        <f t="shared" si="57"/>
        <v>8.4</v>
      </c>
      <c r="BK41" s="931">
        <f t="shared" si="58"/>
        <v>2.6666666666666665</v>
      </c>
      <c r="BL41" s="931">
        <f t="shared" si="59"/>
        <v>1.5</v>
      </c>
      <c r="BM41" s="931">
        <f t="shared" si="60"/>
        <v>12.600000000000001</v>
      </c>
      <c r="BN41" s="931">
        <f t="shared" si="61"/>
        <v>7.4666666666666668</v>
      </c>
      <c r="BO41" s="931">
        <f t="shared" si="62"/>
        <v>1.666666666666667</v>
      </c>
      <c r="BP41" s="1021">
        <f t="shared" si="63"/>
        <v>10</v>
      </c>
      <c r="BQ41" s="1011">
        <f t="shared" si="64"/>
        <v>44.3</v>
      </c>
      <c r="BR41" s="668">
        <f t="shared" si="65"/>
        <v>38</v>
      </c>
      <c r="BS41" s="942" t="s">
        <v>376</v>
      </c>
      <c r="BT41" s="941" t="s">
        <v>376</v>
      </c>
      <c r="BU41" s="637" t="s">
        <v>1260</v>
      </c>
      <c r="BV41" s="1045" t="str">
        <f>VLOOKUP($B41,Tiers!$A:$K,11,FALSE)</f>
        <v>Tier 2</v>
      </c>
      <c r="BW41" s="670" t="s">
        <v>1369</v>
      </c>
    </row>
    <row r="42" spans="1:75" x14ac:dyDescent="0.25">
      <c r="A42" s="641">
        <v>53</v>
      </c>
      <c r="B42" s="600" t="s">
        <v>927</v>
      </c>
      <c r="C42" s="574" t="s">
        <v>37</v>
      </c>
      <c r="D42" s="584" t="s">
        <v>277</v>
      </c>
      <c r="E42" s="576" t="s">
        <v>869</v>
      </c>
      <c r="F42" s="576" t="s">
        <v>870</v>
      </c>
      <c r="G42" s="578">
        <v>11345.1685623786</v>
      </c>
      <c r="H42" s="579">
        <f>G42/5280</f>
        <v>2.148706167117159</v>
      </c>
      <c r="I42" s="576" t="s">
        <v>1645</v>
      </c>
      <c r="J42" s="580"/>
      <c r="K42" s="580"/>
      <c r="L42" s="580"/>
      <c r="M42" s="580" t="s">
        <v>824</v>
      </c>
      <c r="N42" s="581" t="s">
        <v>262</v>
      </c>
      <c r="O42" s="581" t="s">
        <v>262</v>
      </c>
      <c r="P42" s="583" t="s">
        <v>670</v>
      </c>
      <c r="Q42" s="573" t="str">
        <f t="shared" si="34"/>
        <v>M72</v>
      </c>
      <c r="R42" s="656">
        <v>0</v>
      </c>
      <c r="S42" s="657">
        <v>30</v>
      </c>
      <c r="T42" s="654">
        <v>0</v>
      </c>
      <c r="U42" s="649">
        <v>0</v>
      </c>
      <c r="V42" s="652">
        <v>1.1399999999999999</v>
      </c>
      <c r="W42" s="658">
        <v>5</v>
      </c>
      <c r="X42" s="654">
        <v>0</v>
      </c>
      <c r="Y42" s="655">
        <v>5</v>
      </c>
      <c r="Z42" s="656">
        <v>0</v>
      </c>
      <c r="AA42" s="655">
        <v>5</v>
      </c>
      <c r="AB42" s="654">
        <v>0</v>
      </c>
      <c r="AC42" s="657">
        <v>10</v>
      </c>
      <c r="AD42" s="654">
        <v>0</v>
      </c>
      <c r="AE42" s="655">
        <v>10</v>
      </c>
      <c r="AF42" s="659">
        <v>10</v>
      </c>
      <c r="AG42" s="657">
        <v>5</v>
      </c>
      <c r="AH42" s="655">
        <v>5</v>
      </c>
      <c r="AI42" s="656">
        <v>0</v>
      </c>
      <c r="AJ42" s="657">
        <v>5</v>
      </c>
      <c r="AK42" s="657">
        <v>10</v>
      </c>
      <c r="AL42" s="657">
        <v>10</v>
      </c>
      <c r="AM42" s="655">
        <v>10</v>
      </c>
      <c r="AN42" s="664">
        <f t="shared" si="35"/>
        <v>1</v>
      </c>
      <c r="AO42" s="664">
        <f t="shared" si="36"/>
        <v>1</v>
      </c>
      <c r="AP42" s="664">
        <f t="shared" si="37"/>
        <v>1</v>
      </c>
      <c r="AQ42" s="664">
        <f t="shared" si="38"/>
        <v>1</v>
      </c>
      <c r="AR42" s="664">
        <f t="shared" si="39"/>
        <v>7</v>
      </c>
      <c r="AS42" s="664">
        <f t="shared" si="40"/>
        <v>5</v>
      </c>
      <c r="AT42" s="664">
        <f t="shared" si="41"/>
        <v>1</v>
      </c>
      <c r="AU42" s="664">
        <f t="shared" si="42"/>
        <v>5</v>
      </c>
      <c r="AV42" s="664">
        <f t="shared" si="43"/>
        <v>1</v>
      </c>
      <c r="AW42" s="664">
        <f t="shared" si="44"/>
        <v>5</v>
      </c>
      <c r="AX42" s="664">
        <f t="shared" si="45"/>
        <v>1</v>
      </c>
      <c r="AY42" s="664">
        <f t="shared" si="46"/>
        <v>10</v>
      </c>
      <c r="AZ42" s="664">
        <f t="shared" si="47"/>
        <v>1</v>
      </c>
      <c r="BA42" s="664">
        <f t="shared" si="48"/>
        <v>10</v>
      </c>
      <c r="BB42" s="664">
        <f t="shared" si="49"/>
        <v>10</v>
      </c>
      <c r="BC42" s="664">
        <f t="shared" si="50"/>
        <v>5</v>
      </c>
      <c r="BD42" s="664">
        <f t="shared" si="51"/>
        <v>5</v>
      </c>
      <c r="BE42" s="664">
        <f t="shared" si="52"/>
        <v>1</v>
      </c>
      <c r="BF42" s="664">
        <f t="shared" si="53"/>
        <v>5</v>
      </c>
      <c r="BG42" s="664">
        <f t="shared" si="54"/>
        <v>10</v>
      </c>
      <c r="BH42" s="664">
        <f t="shared" si="55"/>
        <v>10</v>
      </c>
      <c r="BI42" s="1009">
        <f t="shared" si="56"/>
        <v>10</v>
      </c>
      <c r="BJ42" s="1020">
        <f t="shared" si="57"/>
        <v>2.1</v>
      </c>
      <c r="BK42" s="931">
        <f t="shared" si="58"/>
        <v>6.9333333333333327</v>
      </c>
      <c r="BL42" s="931">
        <f t="shared" si="59"/>
        <v>4.5</v>
      </c>
      <c r="BM42" s="931">
        <f t="shared" si="60"/>
        <v>5.0400000000000009</v>
      </c>
      <c r="BN42" s="931">
        <f t="shared" si="61"/>
        <v>11.66666666666667</v>
      </c>
      <c r="BO42" s="931">
        <f t="shared" si="62"/>
        <v>3.666666666666667</v>
      </c>
      <c r="BP42" s="1021">
        <f t="shared" si="63"/>
        <v>10</v>
      </c>
      <c r="BQ42" s="1011">
        <f t="shared" si="64"/>
        <v>43.906666666666666</v>
      </c>
      <c r="BR42" s="668">
        <f t="shared" si="65"/>
        <v>39</v>
      </c>
      <c r="BS42" s="942">
        <v>26</v>
      </c>
      <c r="BT42" s="943" t="s">
        <v>275</v>
      </c>
      <c r="BU42" s="636" t="s">
        <v>1261</v>
      </c>
      <c r="BV42" s="1046" t="str">
        <f>VLOOKUP($B42,Tiers!$A:$K,11,FALSE)</f>
        <v>Tier 2</v>
      </c>
      <c r="BW42" s="622"/>
    </row>
    <row r="43" spans="1:75" x14ac:dyDescent="0.25">
      <c r="A43" s="641">
        <v>9</v>
      </c>
      <c r="B43" s="574" t="s">
        <v>1112</v>
      </c>
      <c r="C43" s="574" t="s">
        <v>197</v>
      </c>
      <c r="D43" s="577" t="s">
        <v>762</v>
      </c>
      <c r="E43" s="576" t="s">
        <v>728</v>
      </c>
      <c r="F43" s="576" t="s">
        <v>475</v>
      </c>
      <c r="G43" s="577">
        <v>1</v>
      </c>
      <c r="H43" s="577">
        <v>1</v>
      </c>
      <c r="I43" s="577" t="s">
        <v>1049</v>
      </c>
      <c r="J43" s="276" t="s">
        <v>824</v>
      </c>
      <c r="K43" s="276" t="s">
        <v>824</v>
      </c>
      <c r="L43" s="276" t="s">
        <v>824</v>
      </c>
      <c r="M43" s="276"/>
      <c r="N43" s="580"/>
      <c r="O43" s="580"/>
      <c r="P43" s="580" t="s">
        <v>670</v>
      </c>
      <c r="Q43" s="573" t="str">
        <f t="shared" si="34"/>
        <v>M10</v>
      </c>
      <c r="R43" s="656">
        <v>0</v>
      </c>
      <c r="S43" s="657">
        <v>2115</v>
      </c>
      <c r="T43" s="654">
        <v>0</v>
      </c>
      <c r="U43" s="650">
        <v>1.57</v>
      </c>
      <c r="V43" s="652">
        <v>0.99</v>
      </c>
      <c r="W43" s="656">
        <v>0</v>
      </c>
      <c r="X43" s="655">
        <v>10</v>
      </c>
      <c r="Y43" s="654">
        <v>0</v>
      </c>
      <c r="Z43" s="657">
        <v>10</v>
      </c>
      <c r="AA43" s="654">
        <v>0</v>
      </c>
      <c r="AB43" s="654">
        <v>0</v>
      </c>
      <c r="AC43" s="657">
        <v>5</v>
      </c>
      <c r="AD43" s="655">
        <v>10</v>
      </c>
      <c r="AE43" s="655">
        <v>10</v>
      </c>
      <c r="AF43" s="654">
        <v>0</v>
      </c>
      <c r="AG43" s="657">
        <v>10</v>
      </c>
      <c r="AH43" s="654">
        <v>0</v>
      </c>
      <c r="AI43" s="656">
        <v>0</v>
      </c>
      <c r="AJ43" s="657">
        <v>5</v>
      </c>
      <c r="AK43" s="657">
        <v>10</v>
      </c>
      <c r="AL43" s="657">
        <v>10</v>
      </c>
      <c r="AM43" s="654">
        <v>0</v>
      </c>
      <c r="AN43" s="664">
        <f t="shared" si="35"/>
        <v>1</v>
      </c>
      <c r="AO43" s="664">
        <f t="shared" si="36"/>
        <v>3</v>
      </c>
      <c r="AP43" s="664">
        <f t="shared" si="37"/>
        <v>1</v>
      </c>
      <c r="AQ43" s="664">
        <f t="shared" si="38"/>
        <v>3</v>
      </c>
      <c r="AR43" s="664">
        <f t="shared" si="39"/>
        <v>6</v>
      </c>
      <c r="AS43" s="664">
        <f t="shared" si="40"/>
        <v>1</v>
      </c>
      <c r="AT43" s="664">
        <f t="shared" si="41"/>
        <v>10</v>
      </c>
      <c r="AU43" s="664">
        <f t="shared" si="42"/>
        <v>1</v>
      </c>
      <c r="AV43" s="664">
        <f t="shared" si="43"/>
        <v>10</v>
      </c>
      <c r="AW43" s="664">
        <f t="shared" si="44"/>
        <v>1</v>
      </c>
      <c r="AX43" s="664">
        <f t="shared" si="45"/>
        <v>1</v>
      </c>
      <c r="AY43" s="664">
        <f t="shared" si="46"/>
        <v>5</v>
      </c>
      <c r="AZ43" s="664">
        <f t="shared" si="47"/>
        <v>10</v>
      </c>
      <c r="BA43" s="664">
        <f t="shared" si="48"/>
        <v>10</v>
      </c>
      <c r="BB43" s="664">
        <f t="shared" si="49"/>
        <v>1</v>
      </c>
      <c r="BC43" s="664">
        <f t="shared" si="50"/>
        <v>10</v>
      </c>
      <c r="BD43" s="664">
        <f t="shared" si="51"/>
        <v>1</v>
      </c>
      <c r="BE43" s="664">
        <f t="shared" si="52"/>
        <v>1</v>
      </c>
      <c r="BF43" s="664">
        <f t="shared" si="53"/>
        <v>5</v>
      </c>
      <c r="BG43" s="664">
        <f t="shared" si="54"/>
        <v>10</v>
      </c>
      <c r="BH43" s="664">
        <f t="shared" si="55"/>
        <v>10</v>
      </c>
      <c r="BI43" s="1009">
        <f t="shared" si="56"/>
        <v>1</v>
      </c>
      <c r="BJ43" s="1020">
        <f t="shared" si="57"/>
        <v>3.5</v>
      </c>
      <c r="BK43" s="931">
        <f t="shared" si="58"/>
        <v>5.333333333333333</v>
      </c>
      <c r="BL43" s="931">
        <f t="shared" si="59"/>
        <v>8.25</v>
      </c>
      <c r="BM43" s="931">
        <f t="shared" si="60"/>
        <v>7.5600000000000014</v>
      </c>
      <c r="BN43" s="931">
        <f t="shared" si="61"/>
        <v>9.8000000000000007</v>
      </c>
      <c r="BO43" s="931">
        <f t="shared" si="62"/>
        <v>2.3333333333333335</v>
      </c>
      <c r="BP43" s="1021">
        <f t="shared" si="63"/>
        <v>7.0000000000000009</v>
      </c>
      <c r="BQ43" s="1011">
        <f t="shared" si="64"/>
        <v>43.776666666666671</v>
      </c>
      <c r="BR43" s="668">
        <f t="shared" si="65"/>
        <v>40</v>
      </c>
      <c r="BS43" s="944" t="s">
        <v>376</v>
      </c>
      <c r="BT43" s="941" t="s">
        <v>376</v>
      </c>
      <c r="BU43" s="636" t="s">
        <v>1261</v>
      </c>
      <c r="BV43" s="1047" t="str">
        <f>VLOOKUP($B43,Tiers!$A:$K,11,FALSE)</f>
        <v>Tier 2</v>
      </c>
      <c r="BW43" s="670"/>
    </row>
    <row r="44" spans="1:75" x14ac:dyDescent="0.25">
      <c r="A44" s="641">
        <v>7</v>
      </c>
      <c r="B44" s="574" t="s">
        <v>1110</v>
      </c>
      <c r="C44" s="574" t="s">
        <v>197</v>
      </c>
      <c r="D44" s="577" t="s">
        <v>760</v>
      </c>
      <c r="E44" s="576" t="s">
        <v>614</v>
      </c>
      <c r="F44" s="576" t="s">
        <v>1630</v>
      </c>
      <c r="G44" s="577">
        <v>1</v>
      </c>
      <c r="H44" s="577">
        <v>1</v>
      </c>
      <c r="I44" s="577" t="s">
        <v>1049</v>
      </c>
      <c r="J44" s="276" t="s">
        <v>824</v>
      </c>
      <c r="K44" s="276" t="s">
        <v>824</v>
      </c>
      <c r="L44" s="276" t="s">
        <v>824</v>
      </c>
      <c r="M44" s="276" t="s">
        <v>824</v>
      </c>
      <c r="N44" s="580"/>
      <c r="O44" s="580"/>
      <c r="P44" s="580" t="s">
        <v>670</v>
      </c>
      <c r="Q44" s="573" t="str">
        <f t="shared" si="34"/>
        <v>M8</v>
      </c>
      <c r="R44" s="656">
        <v>0</v>
      </c>
      <c r="S44" s="657">
        <v>7700</v>
      </c>
      <c r="T44" s="654">
        <v>0</v>
      </c>
      <c r="U44" s="651">
        <v>0</v>
      </c>
      <c r="V44" s="652">
        <v>1.04</v>
      </c>
      <c r="W44" s="658">
        <v>5</v>
      </c>
      <c r="X44" s="654">
        <v>0</v>
      </c>
      <c r="Y44" s="654">
        <v>0</v>
      </c>
      <c r="Z44" s="657">
        <v>10</v>
      </c>
      <c r="AA44" s="655">
        <v>5</v>
      </c>
      <c r="AB44" s="654">
        <v>0</v>
      </c>
      <c r="AC44" s="657">
        <v>5</v>
      </c>
      <c r="AD44" s="654">
        <v>0</v>
      </c>
      <c r="AE44" s="655">
        <v>10</v>
      </c>
      <c r="AF44" s="654">
        <v>0</v>
      </c>
      <c r="AG44" s="657">
        <v>10</v>
      </c>
      <c r="AH44" s="654">
        <v>0</v>
      </c>
      <c r="AI44" s="657">
        <v>5</v>
      </c>
      <c r="AJ44" s="657">
        <v>3</v>
      </c>
      <c r="AK44" s="657">
        <v>10</v>
      </c>
      <c r="AL44" s="657">
        <v>10</v>
      </c>
      <c r="AM44" s="654">
        <v>0</v>
      </c>
      <c r="AN44" s="664">
        <f t="shared" si="35"/>
        <v>1</v>
      </c>
      <c r="AO44" s="664">
        <f t="shared" si="36"/>
        <v>10</v>
      </c>
      <c r="AP44" s="664">
        <f t="shared" si="37"/>
        <v>1</v>
      </c>
      <c r="AQ44" s="664">
        <f t="shared" si="38"/>
        <v>1</v>
      </c>
      <c r="AR44" s="664">
        <f t="shared" si="39"/>
        <v>7</v>
      </c>
      <c r="AS44" s="664">
        <f t="shared" si="40"/>
        <v>5</v>
      </c>
      <c r="AT44" s="664">
        <f t="shared" si="41"/>
        <v>1</v>
      </c>
      <c r="AU44" s="664">
        <f t="shared" si="42"/>
        <v>1</v>
      </c>
      <c r="AV44" s="664">
        <f t="shared" si="43"/>
        <v>10</v>
      </c>
      <c r="AW44" s="664">
        <f t="shared" si="44"/>
        <v>5</v>
      </c>
      <c r="AX44" s="664">
        <f t="shared" si="45"/>
        <v>1</v>
      </c>
      <c r="AY44" s="664">
        <f t="shared" si="46"/>
        <v>5</v>
      </c>
      <c r="AZ44" s="664">
        <f t="shared" si="47"/>
        <v>1</v>
      </c>
      <c r="BA44" s="664">
        <f t="shared" si="48"/>
        <v>10</v>
      </c>
      <c r="BB44" s="664">
        <f t="shared" si="49"/>
        <v>1</v>
      </c>
      <c r="BC44" s="664">
        <f t="shared" si="50"/>
        <v>10</v>
      </c>
      <c r="BD44" s="664">
        <f t="shared" si="51"/>
        <v>1</v>
      </c>
      <c r="BE44" s="664">
        <f t="shared" si="52"/>
        <v>5</v>
      </c>
      <c r="BF44" s="664">
        <f t="shared" si="53"/>
        <v>1</v>
      </c>
      <c r="BG44" s="664">
        <f t="shared" si="54"/>
        <v>10</v>
      </c>
      <c r="BH44" s="664">
        <f t="shared" si="55"/>
        <v>10</v>
      </c>
      <c r="BI44" s="1009">
        <f t="shared" si="56"/>
        <v>1</v>
      </c>
      <c r="BJ44" s="1020">
        <f t="shared" si="57"/>
        <v>8.4</v>
      </c>
      <c r="BK44" s="931">
        <f t="shared" si="58"/>
        <v>6.9333333333333327</v>
      </c>
      <c r="BL44" s="931">
        <f t="shared" si="59"/>
        <v>1.5</v>
      </c>
      <c r="BM44" s="931">
        <f t="shared" si="60"/>
        <v>6.160000000000001</v>
      </c>
      <c r="BN44" s="931">
        <f t="shared" si="61"/>
        <v>9.8000000000000007</v>
      </c>
      <c r="BO44" s="931">
        <f t="shared" si="62"/>
        <v>2.3333333333333335</v>
      </c>
      <c r="BP44" s="1021">
        <f t="shared" si="63"/>
        <v>7.0000000000000009</v>
      </c>
      <c r="BQ44" s="1011">
        <f t="shared" si="64"/>
        <v>42.126666666666672</v>
      </c>
      <c r="BR44" s="668">
        <f t="shared" si="65"/>
        <v>41</v>
      </c>
      <c r="BS44" s="944" t="s">
        <v>376</v>
      </c>
      <c r="BT44" s="941" t="s">
        <v>376</v>
      </c>
      <c r="BU44" s="636" t="s">
        <v>1261</v>
      </c>
      <c r="BV44" s="1047" t="str">
        <f>VLOOKUP($B44,Tiers!$A:$K,11,FALSE)</f>
        <v>Tier 2</v>
      </c>
      <c r="BW44" s="670"/>
    </row>
    <row r="45" spans="1:75" x14ac:dyDescent="0.25">
      <c r="A45" s="641">
        <v>26</v>
      </c>
      <c r="B45" s="574" t="s">
        <v>1129</v>
      </c>
      <c r="C45" s="574" t="s">
        <v>197</v>
      </c>
      <c r="D45" s="577" t="s">
        <v>1012</v>
      </c>
      <c r="E45" s="576" t="s">
        <v>614</v>
      </c>
      <c r="F45" s="576" t="s">
        <v>839</v>
      </c>
      <c r="G45" s="577">
        <v>1</v>
      </c>
      <c r="H45" s="577">
        <v>1</v>
      </c>
      <c r="I45" s="577" t="s">
        <v>1646</v>
      </c>
      <c r="J45" s="276" t="s">
        <v>824</v>
      </c>
      <c r="K45" s="276" t="s">
        <v>824</v>
      </c>
      <c r="L45" s="276" t="s">
        <v>824</v>
      </c>
      <c r="M45" s="276" t="s">
        <v>824</v>
      </c>
      <c r="N45" s="580"/>
      <c r="O45" s="580"/>
      <c r="P45" s="580" t="s">
        <v>670</v>
      </c>
      <c r="Q45" s="573" t="str">
        <f t="shared" si="34"/>
        <v>M28</v>
      </c>
      <c r="R45" s="656">
        <v>0</v>
      </c>
      <c r="S45" s="657">
        <v>7700</v>
      </c>
      <c r="T45" s="654">
        <v>0</v>
      </c>
      <c r="U45" s="649">
        <v>0</v>
      </c>
      <c r="V45" s="652">
        <v>1.1599999999999999</v>
      </c>
      <c r="W45" s="658">
        <v>5</v>
      </c>
      <c r="X45" s="654">
        <v>0</v>
      </c>
      <c r="Y45" s="655">
        <v>10</v>
      </c>
      <c r="Z45" s="657">
        <v>10</v>
      </c>
      <c r="AA45" s="654">
        <v>0</v>
      </c>
      <c r="AB45" s="654">
        <v>0</v>
      </c>
      <c r="AC45" s="657">
        <v>5</v>
      </c>
      <c r="AD45" s="655">
        <v>10</v>
      </c>
      <c r="AE45" s="655">
        <v>10</v>
      </c>
      <c r="AF45" s="654">
        <v>0</v>
      </c>
      <c r="AG45" s="656">
        <v>0</v>
      </c>
      <c r="AH45" s="654">
        <v>0</v>
      </c>
      <c r="AI45" s="656">
        <v>0</v>
      </c>
      <c r="AJ45" s="657">
        <v>3</v>
      </c>
      <c r="AK45" s="657">
        <v>10</v>
      </c>
      <c r="AL45" s="656">
        <v>0</v>
      </c>
      <c r="AM45" s="654">
        <v>0</v>
      </c>
      <c r="AN45" s="664">
        <f t="shared" si="35"/>
        <v>1</v>
      </c>
      <c r="AO45" s="664">
        <f t="shared" si="36"/>
        <v>10</v>
      </c>
      <c r="AP45" s="664">
        <f t="shared" si="37"/>
        <v>1</v>
      </c>
      <c r="AQ45" s="664">
        <f t="shared" si="38"/>
        <v>1</v>
      </c>
      <c r="AR45" s="664">
        <f t="shared" si="39"/>
        <v>7</v>
      </c>
      <c r="AS45" s="664">
        <f t="shared" si="40"/>
        <v>5</v>
      </c>
      <c r="AT45" s="664">
        <f t="shared" si="41"/>
        <v>1</v>
      </c>
      <c r="AU45" s="664">
        <f t="shared" si="42"/>
        <v>10</v>
      </c>
      <c r="AV45" s="664">
        <f t="shared" si="43"/>
        <v>10</v>
      </c>
      <c r="AW45" s="664">
        <f t="shared" si="44"/>
        <v>1</v>
      </c>
      <c r="AX45" s="664">
        <f t="shared" si="45"/>
        <v>1</v>
      </c>
      <c r="AY45" s="664">
        <f t="shared" si="46"/>
        <v>5</v>
      </c>
      <c r="AZ45" s="664">
        <f t="shared" si="47"/>
        <v>10</v>
      </c>
      <c r="BA45" s="664">
        <f t="shared" si="48"/>
        <v>10</v>
      </c>
      <c r="BB45" s="664">
        <f t="shared" si="49"/>
        <v>1</v>
      </c>
      <c r="BC45" s="664">
        <f t="shared" si="50"/>
        <v>1</v>
      </c>
      <c r="BD45" s="664">
        <f t="shared" si="51"/>
        <v>1</v>
      </c>
      <c r="BE45" s="664">
        <f t="shared" si="52"/>
        <v>1</v>
      </c>
      <c r="BF45" s="664">
        <f t="shared" si="53"/>
        <v>1</v>
      </c>
      <c r="BG45" s="664">
        <f t="shared" si="54"/>
        <v>10</v>
      </c>
      <c r="BH45" s="664">
        <f t="shared" si="55"/>
        <v>1</v>
      </c>
      <c r="BI45" s="1009">
        <f t="shared" si="56"/>
        <v>1</v>
      </c>
      <c r="BJ45" s="1020">
        <f t="shared" si="57"/>
        <v>8.4</v>
      </c>
      <c r="BK45" s="931">
        <f t="shared" si="58"/>
        <v>6.9333333333333327</v>
      </c>
      <c r="BL45" s="931">
        <f t="shared" si="59"/>
        <v>8.25</v>
      </c>
      <c r="BM45" s="931">
        <f t="shared" si="60"/>
        <v>7.5600000000000014</v>
      </c>
      <c r="BN45" s="931">
        <f t="shared" si="61"/>
        <v>5.6000000000000005</v>
      </c>
      <c r="BO45" s="931">
        <f t="shared" si="62"/>
        <v>1</v>
      </c>
      <c r="BP45" s="1021">
        <f t="shared" si="63"/>
        <v>4</v>
      </c>
      <c r="BQ45" s="1011">
        <f t="shared" si="64"/>
        <v>41.743333333333332</v>
      </c>
      <c r="BR45" s="668">
        <f t="shared" si="65"/>
        <v>42</v>
      </c>
      <c r="BS45" s="944" t="s">
        <v>376</v>
      </c>
      <c r="BT45" s="941" t="s">
        <v>376</v>
      </c>
      <c r="BU45" s="636" t="s">
        <v>1261</v>
      </c>
      <c r="BV45" s="1047" t="str">
        <f>VLOOKUP($B45,Tiers!$A:$K,11,FALSE)</f>
        <v>Tier 2</v>
      </c>
      <c r="BW45" s="670"/>
    </row>
    <row r="46" spans="1:75" ht="13.8" x14ac:dyDescent="0.3">
      <c r="A46" s="641">
        <v>1</v>
      </c>
      <c r="B46" s="574" t="s">
        <v>1103</v>
      </c>
      <c r="C46" s="574" t="s">
        <v>197</v>
      </c>
      <c r="D46" s="32" t="s">
        <v>1175</v>
      </c>
      <c r="E46" s="576" t="s">
        <v>1366</v>
      </c>
      <c r="F46" s="576" t="s">
        <v>551</v>
      </c>
      <c r="G46" s="577">
        <v>1</v>
      </c>
      <c r="H46" s="577">
        <v>1</v>
      </c>
      <c r="I46" s="577" t="s">
        <v>1049</v>
      </c>
      <c r="J46" s="276" t="s">
        <v>824</v>
      </c>
      <c r="K46" s="276"/>
      <c r="L46" s="276"/>
      <c r="M46" s="276" t="s">
        <v>824</v>
      </c>
      <c r="N46" s="580"/>
      <c r="O46" s="580"/>
      <c r="P46" s="580" t="s">
        <v>670</v>
      </c>
      <c r="Q46" s="573" t="str">
        <f t="shared" si="34"/>
        <v>M1</v>
      </c>
      <c r="R46" s="656">
        <v>0</v>
      </c>
      <c r="S46" s="657">
        <v>7160</v>
      </c>
      <c r="T46" s="654">
        <v>0</v>
      </c>
      <c r="U46" s="650">
        <v>1.3</v>
      </c>
      <c r="V46" s="652">
        <v>0.8</v>
      </c>
      <c r="W46" s="656">
        <v>0</v>
      </c>
      <c r="X46" s="655">
        <v>10</v>
      </c>
      <c r="Y46" s="654">
        <v>0</v>
      </c>
      <c r="Z46" s="657">
        <v>10</v>
      </c>
      <c r="AA46" s="654">
        <v>0</v>
      </c>
      <c r="AB46" s="654">
        <v>0</v>
      </c>
      <c r="AC46" s="657">
        <v>5</v>
      </c>
      <c r="AD46" s="654">
        <v>0</v>
      </c>
      <c r="AE46" s="654">
        <v>0</v>
      </c>
      <c r="AF46" s="654">
        <v>0</v>
      </c>
      <c r="AG46" s="657">
        <v>10</v>
      </c>
      <c r="AH46" s="654">
        <v>0</v>
      </c>
      <c r="AI46" s="656">
        <v>0</v>
      </c>
      <c r="AJ46" s="657">
        <v>5</v>
      </c>
      <c r="AK46" s="657">
        <v>10</v>
      </c>
      <c r="AL46" s="657">
        <v>10</v>
      </c>
      <c r="AM46" s="656">
        <v>0</v>
      </c>
      <c r="AN46" s="664">
        <f t="shared" si="35"/>
        <v>1</v>
      </c>
      <c r="AO46" s="664">
        <f t="shared" si="36"/>
        <v>9</v>
      </c>
      <c r="AP46" s="664">
        <f t="shared" si="37"/>
        <v>1</v>
      </c>
      <c r="AQ46" s="664">
        <f t="shared" si="38"/>
        <v>3</v>
      </c>
      <c r="AR46" s="664">
        <f t="shared" si="39"/>
        <v>5</v>
      </c>
      <c r="AS46" s="664">
        <f t="shared" si="40"/>
        <v>1</v>
      </c>
      <c r="AT46" s="664">
        <f t="shared" si="41"/>
        <v>10</v>
      </c>
      <c r="AU46" s="664">
        <f t="shared" si="42"/>
        <v>1</v>
      </c>
      <c r="AV46" s="664">
        <f t="shared" si="43"/>
        <v>10</v>
      </c>
      <c r="AW46" s="664">
        <f t="shared" si="44"/>
        <v>1</v>
      </c>
      <c r="AX46" s="664">
        <f t="shared" si="45"/>
        <v>1</v>
      </c>
      <c r="AY46" s="664">
        <f t="shared" si="46"/>
        <v>5</v>
      </c>
      <c r="AZ46" s="664">
        <f t="shared" si="47"/>
        <v>1</v>
      </c>
      <c r="BA46" s="664">
        <f t="shared" si="48"/>
        <v>1</v>
      </c>
      <c r="BB46" s="664">
        <f t="shared" si="49"/>
        <v>1</v>
      </c>
      <c r="BC46" s="664">
        <f t="shared" si="50"/>
        <v>10</v>
      </c>
      <c r="BD46" s="664">
        <f t="shared" si="51"/>
        <v>1</v>
      </c>
      <c r="BE46" s="664">
        <f t="shared" si="52"/>
        <v>1</v>
      </c>
      <c r="BF46" s="664">
        <f t="shared" si="53"/>
        <v>5</v>
      </c>
      <c r="BG46" s="664">
        <f t="shared" si="54"/>
        <v>10</v>
      </c>
      <c r="BH46" s="664">
        <f t="shared" si="55"/>
        <v>10</v>
      </c>
      <c r="BI46" s="1009">
        <f t="shared" si="56"/>
        <v>1</v>
      </c>
      <c r="BJ46" s="1020">
        <f t="shared" si="57"/>
        <v>7.6999999999999993</v>
      </c>
      <c r="BK46" s="931">
        <f t="shared" si="58"/>
        <v>4.8</v>
      </c>
      <c r="BL46" s="931">
        <f t="shared" si="59"/>
        <v>8.25</v>
      </c>
      <c r="BM46" s="931">
        <f t="shared" si="60"/>
        <v>5.0400000000000009</v>
      </c>
      <c r="BN46" s="931">
        <f t="shared" si="61"/>
        <v>5.6000000000000005</v>
      </c>
      <c r="BO46" s="931">
        <f t="shared" si="62"/>
        <v>2.3333333333333335</v>
      </c>
      <c r="BP46" s="1021">
        <f t="shared" si="63"/>
        <v>7.0000000000000009</v>
      </c>
      <c r="BQ46" s="1011">
        <f t="shared" si="64"/>
        <v>40.723333333333336</v>
      </c>
      <c r="BR46" s="668">
        <f t="shared" si="65"/>
        <v>43</v>
      </c>
      <c r="BS46" s="944" t="s">
        <v>376</v>
      </c>
      <c r="BT46" s="941" t="s">
        <v>376</v>
      </c>
      <c r="BU46" s="636" t="s">
        <v>1261</v>
      </c>
      <c r="BV46" s="1046" t="str">
        <f>VLOOKUP($B46,Tiers!$A:$K,11,FALSE)</f>
        <v>Tier 1</v>
      </c>
      <c r="BW46" s="670"/>
    </row>
    <row r="47" spans="1:75" x14ac:dyDescent="0.25">
      <c r="A47" s="641">
        <v>11</v>
      </c>
      <c r="B47" s="574" t="s">
        <v>1114</v>
      </c>
      <c r="C47" s="574" t="s">
        <v>197</v>
      </c>
      <c r="D47" s="577" t="s">
        <v>763</v>
      </c>
      <c r="E47" s="576" t="s">
        <v>536</v>
      </c>
      <c r="F47" s="576" t="s">
        <v>855</v>
      </c>
      <c r="G47" s="577">
        <v>1</v>
      </c>
      <c r="H47" s="577">
        <v>1</v>
      </c>
      <c r="I47" s="577" t="s">
        <v>1049</v>
      </c>
      <c r="J47" s="276" t="s">
        <v>824</v>
      </c>
      <c r="K47" s="276" t="s">
        <v>824</v>
      </c>
      <c r="L47" s="276" t="s">
        <v>824</v>
      </c>
      <c r="M47" s="276" t="s">
        <v>824</v>
      </c>
      <c r="N47" s="580"/>
      <c r="O47" s="580"/>
      <c r="P47" s="580" t="s">
        <v>670</v>
      </c>
      <c r="Q47" s="573" t="str">
        <f t="shared" si="34"/>
        <v>M12</v>
      </c>
      <c r="R47" s="656">
        <v>0</v>
      </c>
      <c r="S47" s="657">
        <v>3955</v>
      </c>
      <c r="T47" s="654">
        <v>0</v>
      </c>
      <c r="U47" s="651">
        <v>0</v>
      </c>
      <c r="V47" s="652">
        <v>1.28</v>
      </c>
      <c r="W47" s="656">
        <v>0</v>
      </c>
      <c r="X47" s="654">
        <v>0</v>
      </c>
      <c r="Y47" s="655">
        <v>5</v>
      </c>
      <c r="Z47" s="657">
        <v>10</v>
      </c>
      <c r="AA47" s="654">
        <v>0</v>
      </c>
      <c r="AB47" s="654">
        <v>0</v>
      </c>
      <c r="AC47" s="657">
        <v>5</v>
      </c>
      <c r="AD47" s="654">
        <v>0</v>
      </c>
      <c r="AE47" s="655">
        <v>10</v>
      </c>
      <c r="AF47" s="654">
        <v>0</v>
      </c>
      <c r="AG47" s="657">
        <v>10</v>
      </c>
      <c r="AH47" s="654">
        <v>0</v>
      </c>
      <c r="AI47" s="656">
        <v>0</v>
      </c>
      <c r="AJ47" s="657">
        <v>7</v>
      </c>
      <c r="AK47" s="657">
        <v>10</v>
      </c>
      <c r="AL47" s="657">
        <v>10</v>
      </c>
      <c r="AM47" s="654">
        <v>0</v>
      </c>
      <c r="AN47" s="664">
        <f t="shared" si="35"/>
        <v>1</v>
      </c>
      <c r="AO47" s="664">
        <f t="shared" si="36"/>
        <v>5</v>
      </c>
      <c r="AP47" s="664">
        <f t="shared" si="37"/>
        <v>1</v>
      </c>
      <c r="AQ47" s="664">
        <f t="shared" si="38"/>
        <v>1</v>
      </c>
      <c r="AR47" s="664">
        <f t="shared" si="39"/>
        <v>8</v>
      </c>
      <c r="AS47" s="664">
        <f t="shared" si="40"/>
        <v>1</v>
      </c>
      <c r="AT47" s="664">
        <f t="shared" si="41"/>
        <v>1</v>
      </c>
      <c r="AU47" s="664">
        <f t="shared" si="42"/>
        <v>5</v>
      </c>
      <c r="AV47" s="664">
        <f t="shared" si="43"/>
        <v>10</v>
      </c>
      <c r="AW47" s="664">
        <f t="shared" si="44"/>
        <v>1</v>
      </c>
      <c r="AX47" s="664">
        <f t="shared" si="45"/>
        <v>1</v>
      </c>
      <c r="AY47" s="664">
        <f t="shared" si="46"/>
        <v>5</v>
      </c>
      <c r="AZ47" s="664">
        <f t="shared" si="47"/>
        <v>1</v>
      </c>
      <c r="BA47" s="664">
        <f t="shared" si="48"/>
        <v>10</v>
      </c>
      <c r="BB47" s="664">
        <f t="shared" si="49"/>
        <v>1</v>
      </c>
      <c r="BC47" s="664">
        <f t="shared" si="50"/>
        <v>10</v>
      </c>
      <c r="BD47" s="664">
        <f t="shared" si="51"/>
        <v>1</v>
      </c>
      <c r="BE47" s="664">
        <f t="shared" si="52"/>
        <v>1</v>
      </c>
      <c r="BF47" s="664">
        <f t="shared" si="53"/>
        <v>10</v>
      </c>
      <c r="BG47" s="664">
        <f t="shared" si="54"/>
        <v>10</v>
      </c>
      <c r="BH47" s="664">
        <f t="shared" si="55"/>
        <v>10</v>
      </c>
      <c r="BI47" s="1009">
        <f t="shared" si="56"/>
        <v>1</v>
      </c>
      <c r="BJ47" s="1020">
        <f t="shared" si="57"/>
        <v>4.9000000000000004</v>
      </c>
      <c r="BK47" s="931">
        <f t="shared" si="58"/>
        <v>5.333333333333333</v>
      </c>
      <c r="BL47" s="931">
        <f t="shared" si="59"/>
        <v>4.5</v>
      </c>
      <c r="BM47" s="931">
        <f t="shared" si="60"/>
        <v>5.0400000000000009</v>
      </c>
      <c r="BN47" s="931">
        <f t="shared" si="61"/>
        <v>9.8000000000000007</v>
      </c>
      <c r="BO47" s="931">
        <f t="shared" si="62"/>
        <v>4</v>
      </c>
      <c r="BP47" s="1021">
        <f t="shared" si="63"/>
        <v>7.0000000000000009</v>
      </c>
      <c r="BQ47" s="1011">
        <f t="shared" si="64"/>
        <v>40.573333333333338</v>
      </c>
      <c r="BR47" s="668">
        <f t="shared" si="65"/>
        <v>44</v>
      </c>
      <c r="BS47" s="944" t="s">
        <v>376</v>
      </c>
      <c r="BT47" s="941" t="s">
        <v>376</v>
      </c>
      <c r="BU47" s="636" t="s">
        <v>1261</v>
      </c>
      <c r="BV47" s="1047" t="str">
        <f>VLOOKUP($B47,Tiers!$A:$K,11,FALSE)</f>
        <v>Tier 2</v>
      </c>
      <c r="BW47" s="670"/>
    </row>
    <row r="48" spans="1:75" x14ac:dyDescent="0.25">
      <c r="A48" s="641">
        <v>56</v>
      </c>
      <c r="B48" s="600" t="s">
        <v>929</v>
      </c>
      <c r="C48" s="574" t="s">
        <v>37</v>
      </c>
      <c r="D48" s="576" t="s">
        <v>980</v>
      </c>
      <c r="E48" s="576" t="s">
        <v>958</v>
      </c>
      <c r="F48" s="576" t="s">
        <v>959</v>
      </c>
      <c r="G48" s="578">
        <v>2963</v>
      </c>
      <c r="H48" s="579">
        <f t="shared" ref="H48:H55" si="66">G48/5280</f>
        <v>0.56117424242424241</v>
      </c>
      <c r="I48" s="576" t="s">
        <v>1487</v>
      </c>
      <c r="J48" s="580" t="s">
        <v>824</v>
      </c>
      <c r="K48" s="580"/>
      <c r="L48" s="580"/>
      <c r="M48" s="580"/>
      <c r="N48" s="581">
        <v>2</v>
      </c>
      <c r="O48" s="581">
        <v>4</v>
      </c>
      <c r="P48" s="583" t="s">
        <v>779</v>
      </c>
      <c r="Q48" s="573" t="str">
        <f t="shared" si="34"/>
        <v>M101</v>
      </c>
      <c r="R48" s="656">
        <v>0</v>
      </c>
      <c r="S48" s="657">
        <v>1865</v>
      </c>
      <c r="T48" s="654">
        <v>0</v>
      </c>
      <c r="U48" s="652">
        <v>4.5999999999999996</v>
      </c>
      <c r="V48" s="652">
        <v>1.37</v>
      </c>
      <c r="W48" s="658">
        <v>10</v>
      </c>
      <c r="X48" s="655">
        <v>10</v>
      </c>
      <c r="Y48" s="655">
        <v>10</v>
      </c>
      <c r="Z48" s="656">
        <v>0</v>
      </c>
      <c r="AA48" s="654">
        <v>0</v>
      </c>
      <c r="AB48" s="654">
        <v>0</v>
      </c>
      <c r="AC48" s="656">
        <v>0</v>
      </c>
      <c r="AD48" s="655">
        <v>5</v>
      </c>
      <c r="AE48" s="654">
        <v>0</v>
      </c>
      <c r="AF48" s="654">
        <v>0</v>
      </c>
      <c r="AG48" s="656">
        <v>0</v>
      </c>
      <c r="AH48" s="654">
        <v>0</v>
      </c>
      <c r="AI48" s="656">
        <v>0</v>
      </c>
      <c r="AJ48" s="657">
        <v>5</v>
      </c>
      <c r="AK48" s="656">
        <v>0</v>
      </c>
      <c r="AL48" s="656">
        <v>0</v>
      </c>
      <c r="AM48" s="654">
        <v>0</v>
      </c>
      <c r="AN48" s="664">
        <f t="shared" si="35"/>
        <v>1</v>
      </c>
      <c r="AO48" s="664">
        <f t="shared" si="36"/>
        <v>2</v>
      </c>
      <c r="AP48" s="664">
        <f t="shared" si="37"/>
        <v>1</v>
      </c>
      <c r="AQ48" s="664">
        <f t="shared" si="38"/>
        <v>10</v>
      </c>
      <c r="AR48" s="664">
        <f t="shared" si="39"/>
        <v>9</v>
      </c>
      <c r="AS48" s="664">
        <f t="shared" si="40"/>
        <v>10</v>
      </c>
      <c r="AT48" s="664">
        <f t="shared" si="41"/>
        <v>10</v>
      </c>
      <c r="AU48" s="664">
        <f t="shared" si="42"/>
        <v>10</v>
      </c>
      <c r="AV48" s="664">
        <f t="shared" si="43"/>
        <v>1</v>
      </c>
      <c r="AW48" s="664">
        <f t="shared" si="44"/>
        <v>1</v>
      </c>
      <c r="AX48" s="664">
        <f t="shared" si="45"/>
        <v>1</v>
      </c>
      <c r="AY48" s="664">
        <f t="shared" si="46"/>
        <v>1</v>
      </c>
      <c r="AZ48" s="664">
        <f t="shared" si="47"/>
        <v>5</v>
      </c>
      <c r="BA48" s="664">
        <f t="shared" si="48"/>
        <v>1</v>
      </c>
      <c r="BB48" s="664">
        <f t="shared" si="49"/>
        <v>1</v>
      </c>
      <c r="BC48" s="664">
        <f t="shared" si="50"/>
        <v>1</v>
      </c>
      <c r="BD48" s="664">
        <f t="shared" si="51"/>
        <v>1</v>
      </c>
      <c r="BE48" s="664">
        <f t="shared" si="52"/>
        <v>1</v>
      </c>
      <c r="BF48" s="664">
        <f t="shared" si="53"/>
        <v>5</v>
      </c>
      <c r="BG48" s="664">
        <f t="shared" si="54"/>
        <v>1</v>
      </c>
      <c r="BH48" s="664">
        <f t="shared" si="55"/>
        <v>1</v>
      </c>
      <c r="BI48" s="1009">
        <f t="shared" si="56"/>
        <v>1</v>
      </c>
      <c r="BJ48" s="1020">
        <f t="shared" si="57"/>
        <v>2.8</v>
      </c>
      <c r="BK48" s="931">
        <f t="shared" si="58"/>
        <v>15.466666666666667</v>
      </c>
      <c r="BL48" s="931">
        <f t="shared" si="59"/>
        <v>15</v>
      </c>
      <c r="BM48" s="931">
        <f t="shared" si="60"/>
        <v>2.5200000000000005</v>
      </c>
      <c r="BN48" s="931">
        <f t="shared" si="61"/>
        <v>1.4000000000000001</v>
      </c>
      <c r="BO48" s="931">
        <f t="shared" si="62"/>
        <v>2.3333333333333335</v>
      </c>
      <c r="BP48" s="1021">
        <f t="shared" si="63"/>
        <v>1</v>
      </c>
      <c r="BQ48" s="1011">
        <f t="shared" si="64"/>
        <v>40.520000000000003</v>
      </c>
      <c r="BR48" s="668">
        <f t="shared" si="65"/>
        <v>45</v>
      </c>
      <c r="BS48" s="942" t="s">
        <v>376</v>
      </c>
      <c r="BT48" s="941" t="s">
        <v>376</v>
      </c>
      <c r="BU48" s="636" t="s">
        <v>1261</v>
      </c>
      <c r="BV48" s="1048" t="str">
        <f>VLOOKUP($B48,Tiers!$A:$K,11,FALSE)</f>
        <v>Tier 4</v>
      </c>
      <c r="BW48" s="670"/>
    </row>
    <row r="49" spans="1:75" x14ac:dyDescent="0.25">
      <c r="A49" s="640">
        <v>43</v>
      </c>
      <c r="B49" s="600" t="s">
        <v>918</v>
      </c>
      <c r="C49" s="574" t="s">
        <v>37</v>
      </c>
      <c r="D49" s="584" t="s">
        <v>595</v>
      </c>
      <c r="E49" s="576" t="s">
        <v>866</v>
      </c>
      <c r="F49" s="576" t="s">
        <v>867</v>
      </c>
      <c r="G49" s="578">
        <v>12371.9585390744</v>
      </c>
      <c r="H49" s="579">
        <f t="shared" si="66"/>
        <v>2.3431739657337878</v>
      </c>
      <c r="I49" s="576" t="s">
        <v>1487</v>
      </c>
      <c r="J49" s="580" t="s">
        <v>824</v>
      </c>
      <c r="K49" s="580" t="s">
        <v>824</v>
      </c>
      <c r="L49" s="580"/>
      <c r="M49" s="580"/>
      <c r="N49" s="581">
        <v>2</v>
      </c>
      <c r="O49" s="581">
        <v>3</v>
      </c>
      <c r="P49" s="583" t="s">
        <v>779</v>
      </c>
      <c r="Q49" s="573" t="str">
        <f t="shared" si="34"/>
        <v>M62</v>
      </c>
      <c r="R49" s="656">
        <v>0</v>
      </c>
      <c r="S49" s="657">
        <v>3465</v>
      </c>
      <c r="T49" s="654">
        <v>0</v>
      </c>
      <c r="U49" s="651">
        <v>0</v>
      </c>
      <c r="V49" s="652">
        <v>1.48</v>
      </c>
      <c r="W49" s="658">
        <v>10</v>
      </c>
      <c r="X49" s="654">
        <v>0</v>
      </c>
      <c r="Y49" s="654">
        <v>0</v>
      </c>
      <c r="Z49" s="656">
        <v>0</v>
      </c>
      <c r="AA49" s="654">
        <v>0</v>
      </c>
      <c r="AB49" s="654">
        <v>0</v>
      </c>
      <c r="AC49" s="657">
        <v>5</v>
      </c>
      <c r="AD49" s="654">
        <v>0</v>
      </c>
      <c r="AE49" s="657">
        <v>10</v>
      </c>
      <c r="AF49" s="659">
        <v>10</v>
      </c>
      <c r="AG49" s="656">
        <v>0</v>
      </c>
      <c r="AH49" s="654">
        <v>0</v>
      </c>
      <c r="AI49" s="656">
        <v>0</v>
      </c>
      <c r="AJ49" s="657">
        <v>5</v>
      </c>
      <c r="AK49" s="657">
        <v>10</v>
      </c>
      <c r="AL49" s="657">
        <v>10</v>
      </c>
      <c r="AM49" s="654">
        <v>0</v>
      </c>
      <c r="AN49" s="664">
        <f t="shared" si="35"/>
        <v>1</v>
      </c>
      <c r="AO49" s="664">
        <f t="shared" si="36"/>
        <v>5</v>
      </c>
      <c r="AP49" s="664">
        <f t="shared" si="37"/>
        <v>1</v>
      </c>
      <c r="AQ49" s="664">
        <f t="shared" si="38"/>
        <v>1</v>
      </c>
      <c r="AR49" s="664">
        <f t="shared" si="39"/>
        <v>10</v>
      </c>
      <c r="AS49" s="664">
        <f t="shared" si="40"/>
        <v>10</v>
      </c>
      <c r="AT49" s="664">
        <f t="shared" si="41"/>
        <v>1</v>
      </c>
      <c r="AU49" s="664">
        <f t="shared" si="42"/>
        <v>1</v>
      </c>
      <c r="AV49" s="664">
        <f t="shared" si="43"/>
        <v>1</v>
      </c>
      <c r="AW49" s="664">
        <f t="shared" si="44"/>
        <v>1</v>
      </c>
      <c r="AX49" s="664">
        <f t="shared" si="45"/>
        <v>1</v>
      </c>
      <c r="AY49" s="664">
        <f t="shared" si="46"/>
        <v>5</v>
      </c>
      <c r="AZ49" s="664">
        <f t="shared" si="47"/>
        <v>1</v>
      </c>
      <c r="BA49" s="664">
        <f t="shared" si="48"/>
        <v>10</v>
      </c>
      <c r="BB49" s="664">
        <f t="shared" si="49"/>
        <v>10</v>
      </c>
      <c r="BC49" s="664">
        <f t="shared" si="50"/>
        <v>1</v>
      </c>
      <c r="BD49" s="664">
        <f t="shared" si="51"/>
        <v>1</v>
      </c>
      <c r="BE49" s="664">
        <f t="shared" si="52"/>
        <v>1</v>
      </c>
      <c r="BF49" s="664">
        <f t="shared" si="53"/>
        <v>5</v>
      </c>
      <c r="BG49" s="664">
        <f t="shared" si="54"/>
        <v>10</v>
      </c>
      <c r="BH49" s="664">
        <f t="shared" si="55"/>
        <v>10</v>
      </c>
      <c r="BI49" s="1009">
        <f t="shared" si="56"/>
        <v>1</v>
      </c>
      <c r="BJ49" s="1020">
        <f t="shared" si="57"/>
        <v>4.9000000000000004</v>
      </c>
      <c r="BK49" s="931">
        <f t="shared" si="58"/>
        <v>11.200000000000001</v>
      </c>
      <c r="BL49" s="931">
        <f t="shared" si="59"/>
        <v>1.5</v>
      </c>
      <c r="BM49" s="931">
        <f t="shared" si="60"/>
        <v>2.5200000000000005</v>
      </c>
      <c r="BN49" s="931">
        <f t="shared" si="61"/>
        <v>9.8000000000000007</v>
      </c>
      <c r="BO49" s="931">
        <f t="shared" si="62"/>
        <v>2.3333333333333335</v>
      </c>
      <c r="BP49" s="1021">
        <f t="shared" si="63"/>
        <v>7.0000000000000009</v>
      </c>
      <c r="BQ49" s="1011">
        <f t="shared" si="64"/>
        <v>39.253333333333337</v>
      </c>
      <c r="BR49" s="668">
        <f t="shared" si="65"/>
        <v>46</v>
      </c>
      <c r="BS49" s="942">
        <v>22</v>
      </c>
      <c r="BT49" s="943" t="s">
        <v>279</v>
      </c>
      <c r="BU49" s="636" t="s">
        <v>1261</v>
      </c>
      <c r="BV49" s="1048" t="str">
        <f>VLOOKUP($B49,Tiers!$A:$K,11,FALSE)</f>
        <v>Tier 4</v>
      </c>
      <c r="BW49" s="622"/>
    </row>
    <row r="50" spans="1:75" x14ac:dyDescent="0.25">
      <c r="A50" s="640">
        <v>52</v>
      </c>
      <c r="B50" s="600" t="s">
        <v>926</v>
      </c>
      <c r="C50" s="574" t="s">
        <v>37</v>
      </c>
      <c r="D50" s="584" t="s">
        <v>596</v>
      </c>
      <c r="E50" s="576" t="s">
        <v>786</v>
      </c>
      <c r="F50" s="576" t="s">
        <v>872</v>
      </c>
      <c r="G50" s="578">
        <f>'MTP_lines-polygons'!J27</f>
        <v>2865.5948530000001</v>
      </c>
      <c r="H50" s="579">
        <f t="shared" si="66"/>
        <v>0.54272629791666671</v>
      </c>
      <c r="I50" s="576" t="s">
        <v>1643</v>
      </c>
      <c r="J50" s="580"/>
      <c r="K50" s="580" t="s">
        <v>824</v>
      </c>
      <c r="L50" s="580" t="s">
        <v>824</v>
      </c>
      <c r="M50" s="580"/>
      <c r="N50" s="581" t="s">
        <v>262</v>
      </c>
      <c r="O50" s="581" t="s">
        <v>262</v>
      </c>
      <c r="P50" s="583" t="s">
        <v>670</v>
      </c>
      <c r="Q50" s="573" t="str">
        <f t="shared" si="34"/>
        <v>M71</v>
      </c>
      <c r="R50" s="656">
        <v>0</v>
      </c>
      <c r="S50" s="656">
        <v>25</v>
      </c>
      <c r="T50" s="654">
        <v>0</v>
      </c>
      <c r="U50" s="651">
        <v>0</v>
      </c>
      <c r="V50" s="651">
        <v>0</v>
      </c>
      <c r="W50" s="656">
        <v>0</v>
      </c>
      <c r="X50" s="655">
        <v>10</v>
      </c>
      <c r="Y50" s="656">
        <v>0</v>
      </c>
      <c r="Z50" s="657">
        <v>10</v>
      </c>
      <c r="AA50" s="654">
        <v>0</v>
      </c>
      <c r="AB50" s="655">
        <v>10</v>
      </c>
      <c r="AC50" s="656">
        <v>0</v>
      </c>
      <c r="AD50" s="654">
        <v>0</v>
      </c>
      <c r="AE50" s="657">
        <v>10</v>
      </c>
      <c r="AF50" s="659">
        <v>10</v>
      </c>
      <c r="AG50" s="656">
        <v>0</v>
      </c>
      <c r="AH50" s="654">
        <v>0</v>
      </c>
      <c r="AI50" s="656">
        <v>0</v>
      </c>
      <c r="AJ50" s="657">
        <v>5</v>
      </c>
      <c r="AK50" s="657">
        <v>10</v>
      </c>
      <c r="AL50" s="657">
        <v>10</v>
      </c>
      <c r="AM50" s="655">
        <v>5</v>
      </c>
      <c r="AN50" s="664">
        <f t="shared" si="35"/>
        <v>1</v>
      </c>
      <c r="AO50" s="664">
        <f t="shared" si="36"/>
        <v>1</v>
      </c>
      <c r="AP50" s="664">
        <f t="shared" si="37"/>
        <v>1</v>
      </c>
      <c r="AQ50" s="664">
        <f t="shared" si="38"/>
        <v>1</v>
      </c>
      <c r="AR50" s="664">
        <f t="shared" si="39"/>
        <v>1</v>
      </c>
      <c r="AS50" s="664">
        <f t="shared" si="40"/>
        <v>1</v>
      </c>
      <c r="AT50" s="664">
        <f t="shared" si="41"/>
        <v>10</v>
      </c>
      <c r="AU50" s="664">
        <f t="shared" si="42"/>
        <v>1</v>
      </c>
      <c r="AV50" s="664">
        <f t="shared" si="43"/>
        <v>10</v>
      </c>
      <c r="AW50" s="664">
        <f t="shared" si="44"/>
        <v>1</v>
      </c>
      <c r="AX50" s="664">
        <f t="shared" si="45"/>
        <v>10</v>
      </c>
      <c r="AY50" s="664">
        <f t="shared" si="46"/>
        <v>1</v>
      </c>
      <c r="AZ50" s="664">
        <f t="shared" si="47"/>
        <v>1</v>
      </c>
      <c r="BA50" s="664">
        <f t="shared" si="48"/>
        <v>10</v>
      </c>
      <c r="BB50" s="664">
        <f t="shared" si="49"/>
        <v>10</v>
      </c>
      <c r="BC50" s="664">
        <f t="shared" si="50"/>
        <v>1</v>
      </c>
      <c r="BD50" s="664">
        <f t="shared" si="51"/>
        <v>1</v>
      </c>
      <c r="BE50" s="664">
        <f t="shared" si="52"/>
        <v>1</v>
      </c>
      <c r="BF50" s="664">
        <f t="shared" si="53"/>
        <v>5</v>
      </c>
      <c r="BG50" s="664">
        <f t="shared" si="54"/>
        <v>10</v>
      </c>
      <c r="BH50" s="664">
        <f t="shared" si="55"/>
        <v>10</v>
      </c>
      <c r="BI50" s="1009">
        <f t="shared" si="56"/>
        <v>5</v>
      </c>
      <c r="BJ50" s="1020">
        <f t="shared" si="57"/>
        <v>2.1</v>
      </c>
      <c r="BK50" s="931">
        <f t="shared" si="58"/>
        <v>1.6</v>
      </c>
      <c r="BL50" s="931">
        <f t="shared" si="59"/>
        <v>8.25</v>
      </c>
      <c r="BM50" s="931">
        <f t="shared" si="60"/>
        <v>6.44</v>
      </c>
      <c r="BN50" s="931">
        <f t="shared" si="61"/>
        <v>9.8000000000000007</v>
      </c>
      <c r="BO50" s="931">
        <f t="shared" si="62"/>
        <v>2.3333333333333335</v>
      </c>
      <c r="BP50" s="1021">
        <f t="shared" si="63"/>
        <v>8.3333333333333357</v>
      </c>
      <c r="BQ50" s="1011">
        <f t="shared" si="64"/>
        <v>38.856666666666669</v>
      </c>
      <c r="BR50" s="668">
        <f t="shared" si="65"/>
        <v>47</v>
      </c>
      <c r="BS50" s="942">
        <v>28</v>
      </c>
      <c r="BT50" s="943" t="s">
        <v>272</v>
      </c>
      <c r="BU50" s="636" t="s">
        <v>1261</v>
      </c>
      <c r="BV50" s="1046" t="str">
        <f>VLOOKUP($B50,Tiers!$A:$K,11,FALSE)</f>
        <v>Tier 2</v>
      </c>
      <c r="BW50" s="622"/>
    </row>
    <row r="51" spans="1:75" x14ac:dyDescent="0.25">
      <c r="A51" s="640">
        <v>37</v>
      </c>
      <c r="B51" s="600" t="s">
        <v>911</v>
      </c>
      <c r="C51" s="574" t="s">
        <v>37</v>
      </c>
      <c r="D51" s="584" t="s">
        <v>303</v>
      </c>
      <c r="E51" s="576" t="s">
        <v>747</v>
      </c>
      <c r="F51" s="576" t="s">
        <v>851</v>
      </c>
      <c r="G51" s="578">
        <v>50240.825464000001</v>
      </c>
      <c r="H51" s="579">
        <f t="shared" si="66"/>
        <v>9.5153078530303041</v>
      </c>
      <c r="I51" s="576" t="s">
        <v>1481</v>
      </c>
      <c r="J51" s="580" t="s">
        <v>824</v>
      </c>
      <c r="K51" s="580"/>
      <c r="L51" s="580" t="s">
        <v>824</v>
      </c>
      <c r="M51" s="580"/>
      <c r="N51" s="581">
        <v>2</v>
      </c>
      <c r="O51" s="581">
        <v>2</v>
      </c>
      <c r="P51" s="583" t="s">
        <v>670</v>
      </c>
      <c r="Q51" s="573" t="str">
        <f t="shared" si="34"/>
        <v>M55</v>
      </c>
      <c r="R51" s="657">
        <v>10</v>
      </c>
      <c r="S51" s="657">
        <v>410</v>
      </c>
      <c r="T51" s="654">
        <v>0</v>
      </c>
      <c r="U51" s="652">
        <v>1.49</v>
      </c>
      <c r="V51" s="652">
        <v>1.19</v>
      </c>
      <c r="W51" s="656">
        <v>0</v>
      </c>
      <c r="X51" s="654">
        <v>0</v>
      </c>
      <c r="Y51" s="656">
        <v>0</v>
      </c>
      <c r="Z51" s="657">
        <v>10</v>
      </c>
      <c r="AA51" s="654">
        <v>0</v>
      </c>
      <c r="AB51" s="654">
        <v>0</v>
      </c>
      <c r="AC51" s="657">
        <v>5</v>
      </c>
      <c r="AD51" s="655">
        <v>5</v>
      </c>
      <c r="AE51" s="656">
        <v>0</v>
      </c>
      <c r="AF51" s="659">
        <v>10</v>
      </c>
      <c r="AG51" s="656">
        <v>0</v>
      </c>
      <c r="AH51" s="654">
        <v>0</v>
      </c>
      <c r="AI51" s="657">
        <v>5</v>
      </c>
      <c r="AJ51" s="657">
        <v>5</v>
      </c>
      <c r="AK51" s="657">
        <v>10</v>
      </c>
      <c r="AL51" s="657">
        <v>10</v>
      </c>
      <c r="AM51" s="654">
        <v>0</v>
      </c>
      <c r="AN51" s="664">
        <f t="shared" si="35"/>
        <v>10</v>
      </c>
      <c r="AO51" s="664">
        <f t="shared" si="36"/>
        <v>1</v>
      </c>
      <c r="AP51" s="664">
        <f t="shared" si="37"/>
        <v>1</v>
      </c>
      <c r="AQ51" s="664">
        <f t="shared" si="38"/>
        <v>3</v>
      </c>
      <c r="AR51" s="664">
        <f t="shared" si="39"/>
        <v>8</v>
      </c>
      <c r="AS51" s="664">
        <f t="shared" si="40"/>
        <v>1</v>
      </c>
      <c r="AT51" s="664">
        <f t="shared" si="41"/>
        <v>1</v>
      </c>
      <c r="AU51" s="664">
        <f t="shared" si="42"/>
        <v>1</v>
      </c>
      <c r="AV51" s="664">
        <f t="shared" si="43"/>
        <v>10</v>
      </c>
      <c r="AW51" s="664">
        <f t="shared" si="44"/>
        <v>1</v>
      </c>
      <c r="AX51" s="664">
        <f t="shared" si="45"/>
        <v>1</v>
      </c>
      <c r="AY51" s="664">
        <f t="shared" si="46"/>
        <v>5</v>
      </c>
      <c r="AZ51" s="664">
        <f t="shared" si="47"/>
        <v>5</v>
      </c>
      <c r="BA51" s="664">
        <f t="shared" si="48"/>
        <v>1</v>
      </c>
      <c r="BB51" s="664">
        <f t="shared" si="49"/>
        <v>10</v>
      </c>
      <c r="BC51" s="664">
        <f t="shared" si="50"/>
        <v>1</v>
      </c>
      <c r="BD51" s="664">
        <f t="shared" si="51"/>
        <v>1</v>
      </c>
      <c r="BE51" s="664">
        <f t="shared" si="52"/>
        <v>5</v>
      </c>
      <c r="BF51" s="664">
        <f t="shared" si="53"/>
        <v>5</v>
      </c>
      <c r="BG51" s="664">
        <f t="shared" si="54"/>
        <v>10</v>
      </c>
      <c r="BH51" s="664">
        <f t="shared" si="55"/>
        <v>10</v>
      </c>
      <c r="BI51" s="1009">
        <f t="shared" si="56"/>
        <v>1</v>
      </c>
      <c r="BJ51" s="1020">
        <f t="shared" si="57"/>
        <v>8.4</v>
      </c>
      <c r="BK51" s="931">
        <f t="shared" si="58"/>
        <v>6.4</v>
      </c>
      <c r="BL51" s="931">
        <f t="shared" si="59"/>
        <v>1.5</v>
      </c>
      <c r="BM51" s="931">
        <f t="shared" si="60"/>
        <v>6.160000000000001</v>
      </c>
      <c r="BN51" s="931">
        <f t="shared" si="61"/>
        <v>5.6000000000000005</v>
      </c>
      <c r="BO51" s="931">
        <f t="shared" si="62"/>
        <v>3.666666666666667</v>
      </c>
      <c r="BP51" s="1021">
        <f t="shared" si="63"/>
        <v>7.0000000000000009</v>
      </c>
      <c r="BQ51" s="1011">
        <f t="shared" si="64"/>
        <v>38.726666666666674</v>
      </c>
      <c r="BR51" s="668">
        <f t="shared" si="65"/>
        <v>48</v>
      </c>
      <c r="BS51" s="942">
        <v>3</v>
      </c>
      <c r="BT51" s="943" t="s">
        <v>279</v>
      </c>
      <c r="BU51" s="636" t="s">
        <v>1261</v>
      </c>
      <c r="BV51" s="1048" t="str">
        <f>VLOOKUP($B51,Tiers!$A:$K,11,FALSE)</f>
        <v>Tier 4</v>
      </c>
      <c r="BW51" s="622"/>
    </row>
    <row r="52" spans="1:75" x14ac:dyDescent="0.25">
      <c r="A52" s="640">
        <v>73</v>
      </c>
      <c r="B52" s="600" t="s">
        <v>954</v>
      </c>
      <c r="C52" s="574" t="s">
        <v>37</v>
      </c>
      <c r="D52" s="576" t="s">
        <v>1096</v>
      </c>
      <c r="E52" s="576" t="s">
        <v>736</v>
      </c>
      <c r="F52" s="576" t="s">
        <v>1097</v>
      </c>
      <c r="G52" s="578">
        <v>11933.54566</v>
      </c>
      <c r="H52" s="579">
        <f t="shared" si="66"/>
        <v>2.2601412234848484</v>
      </c>
      <c r="I52" s="576" t="s">
        <v>1643</v>
      </c>
      <c r="J52" s="580"/>
      <c r="K52" s="580" t="s">
        <v>824</v>
      </c>
      <c r="L52" s="580" t="s">
        <v>824</v>
      </c>
      <c r="M52" s="580"/>
      <c r="N52" s="581">
        <v>2</v>
      </c>
      <c r="O52" s="581">
        <v>2</v>
      </c>
      <c r="P52" s="583" t="s">
        <v>670</v>
      </c>
      <c r="Q52" s="573" t="str">
        <f t="shared" si="34"/>
        <v>M121</v>
      </c>
      <c r="R52" s="656">
        <v>0</v>
      </c>
      <c r="S52" s="657">
        <v>2905</v>
      </c>
      <c r="T52" s="655">
        <v>10</v>
      </c>
      <c r="U52" s="652">
        <v>1.92</v>
      </c>
      <c r="V52" s="652">
        <v>0.82</v>
      </c>
      <c r="W52" s="656">
        <v>0</v>
      </c>
      <c r="X52" s="654">
        <v>0</v>
      </c>
      <c r="Y52" s="656">
        <v>0</v>
      </c>
      <c r="Z52" s="657">
        <v>10</v>
      </c>
      <c r="AA52" s="654">
        <v>0</v>
      </c>
      <c r="AB52" s="655">
        <v>5</v>
      </c>
      <c r="AC52" s="657">
        <v>5</v>
      </c>
      <c r="AD52" s="657">
        <v>10</v>
      </c>
      <c r="AE52" s="657">
        <v>10</v>
      </c>
      <c r="AF52" s="654">
        <v>0</v>
      </c>
      <c r="AG52" s="657">
        <v>10</v>
      </c>
      <c r="AH52" s="654">
        <v>0</v>
      </c>
      <c r="AI52" s="656">
        <v>0</v>
      </c>
      <c r="AJ52" s="657">
        <v>4</v>
      </c>
      <c r="AK52" s="656">
        <v>0</v>
      </c>
      <c r="AL52" s="656">
        <v>0</v>
      </c>
      <c r="AM52" s="654">
        <v>0</v>
      </c>
      <c r="AN52" s="664">
        <f t="shared" si="35"/>
        <v>1</v>
      </c>
      <c r="AO52" s="664">
        <f t="shared" si="36"/>
        <v>4</v>
      </c>
      <c r="AP52" s="664">
        <f t="shared" si="37"/>
        <v>10</v>
      </c>
      <c r="AQ52" s="664">
        <f t="shared" si="38"/>
        <v>4</v>
      </c>
      <c r="AR52" s="664">
        <f t="shared" si="39"/>
        <v>5</v>
      </c>
      <c r="AS52" s="664">
        <f t="shared" si="40"/>
        <v>1</v>
      </c>
      <c r="AT52" s="664">
        <f t="shared" si="41"/>
        <v>1</v>
      </c>
      <c r="AU52" s="664">
        <f t="shared" si="42"/>
        <v>1</v>
      </c>
      <c r="AV52" s="664">
        <f t="shared" si="43"/>
        <v>10</v>
      </c>
      <c r="AW52" s="664">
        <f t="shared" si="44"/>
        <v>1</v>
      </c>
      <c r="AX52" s="664">
        <f t="shared" si="45"/>
        <v>5</v>
      </c>
      <c r="AY52" s="664">
        <f t="shared" si="46"/>
        <v>5</v>
      </c>
      <c r="AZ52" s="664">
        <f t="shared" si="47"/>
        <v>10</v>
      </c>
      <c r="BA52" s="664">
        <f t="shared" si="48"/>
        <v>10</v>
      </c>
      <c r="BB52" s="664">
        <f t="shared" si="49"/>
        <v>1</v>
      </c>
      <c r="BC52" s="664">
        <f t="shared" si="50"/>
        <v>10</v>
      </c>
      <c r="BD52" s="664">
        <f t="shared" si="51"/>
        <v>1</v>
      </c>
      <c r="BE52" s="664">
        <f t="shared" si="52"/>
        <v>1</v>
      </c>
      <c r="BF52" s="664">
        <f t="shared" si="53"/>
        <v>3</v>
      </c>
      <c r="BG52" s="664">
        <f t="shared" si="54"/>
        <v>1</v>
      </c>
      <c r="BH52" s="664">
        <f t="shared" si="55"/>
        <v>1</v>
      </c>
      <c r="BI52" s="1009">
        <f t="shared" si="56"/>
        <v>1</v>
      </c>
      <c r="BJ52" s="1020">
        <f t="shared" si="57"/>
        <v>10.5</v>
      </c>
      <c r="BK52" s="931">
        <f t="shared" si="58"/>
        <v>5.333333333333333</v>
      </c>
      <c r="BL52" s="931">
        <f t="shared" si="59"/>
        <v>1.5</v>
      </c>
      <c r="BM52" s="931">
        <f t="shared" si="60"/>
        <v>8.6800000000000015</v>
      </c>
      <c r="BN52" s="931">
        <f t="shared" si="61"/>
        <v>9.8000000000000007</v>
      </c>
      <c r="BO52" s="931">
        <f t="shared" si="62"/>
        <v>1.666666666666667</v>
      </c>
      <c r="BP52" s="1021">
        <f t="shared" si="63"/>
        <v>1</v>
      </c>
      <c r="BQ52" s="1011">
        <f t="shared" si="64"/>
        <v>38.479999999999997</v>
      </c>
      <c r="BR52" s="668">
        <f t="shared" si="65"/>
        <v>49</v>
      </c>
      <c r="BS52" s="942" t="s">
        <v>376</v>
      </c>
      <c r="BT52" s="941" t="s">
        <v>376</v>
      </c>
      <c r="BU52" s="636" t="s">
        <v>1261</v>
      </c>
      <c r="BV52" s="1048" t="str">
        <f>VLOOKUP($B52,Tiers!$A:$K,11,FALSE)</f>
        <v>Tier 4</v>
      </c>
      <c r="BW52" s="670"/>
    </row>
    <row r="53" spans="1:75" x14ac:dyDescent="0.25">
      <c r="A53" s="640">
        <v>39</v>
      </c>
      <c r="B53" s="600" t="s">
        <v>914</v>
      </c>
      <c r="C53" s="574" t="s">
        <v>37</v>
      </c>
      <c r="D53" s="584" t="s">
        <v>594</v>
      </c>
      <c r="E53" s="576" t="s">
        <v>1625</v>
      </c>
      <c r="F53" s="576" t="s">
        <v>955</v>
      </c>
      <c r="G53" s="578">
        <v>5550.8143241513999</v>
      </c>
      <c r="H53" s="579">
        <f t="shared" si="66"/>
        <v>1.0512905916953408</v>
      </c>
      <c r="I53" s="576" t="s">
        <v>1487</v>
      </c>
      <c r="J53" s="580" t="s">
        <v>824</v>
      </c>
      <c r="K53" s="580"/>
      <c r="L53" s="580"/>
      <c r="M53" s="580"/>
      <c r="N53" s="581">
        <v>4</v>
      </c>
      <c r="O53" s="581">
        <v>6</v>
      </c>
      <c r="P53" s="583" t="s">
        <v>779</v>
      </c>
      <c r="Q53" s="573" t="str">
        <f t="shared" si="34"/>
        <v>M58</v>
      </c>
      <c r="R53" s="656">
        <v>0</v>
      </c>
      <c r="S53" s="657">
        <v>2720</v>
      </c>
      <c r="T53" s="655">
        <v>5</v>
      </c>
      <c r="U53" s="652">
        <v>1.07</v>
      </c>
      <c r="V53" s="652">
        <v>0.91</v>
      </c>
      <c r="W53" s="656">
        <v>0</v>
      </c>
      <c r="X53" s="655">
        <v>10</v>
      </c>
      <c r="Y53" s="656">
        <v>0</v>
      </c>
      <c r="Z53" s="656">
        <v>0</v>
      </c>
      <c r="AA53" s="654">
        <v>0</v>
      </c>
      <c r="AB53" s="654">
        <v>0</v>
      </c>
      <c r="AC53" s="656">
        <v>0</v>
      </c>
      <c r="AD53" s="657">
        <v>10</v>
      </c>
      <c r="AE53" s="657">
        <v>5</v>
      </c>
      <c r="AF53" s="658">
        <v>10</v>
      </c>
      <c r="AG53" s="656">
        <v>0</v>
      </c>
      <c r="AH53" s="654">
        <v>0</v>
      </c>
      <c r="AI53" s="656">
        <v>0</v>
      </c>
      <c r="AJ53" s="657">
        <v>4</v>
      </c>
      <c r="AK53" s="656">
        <v>0</v>
      </c>
      <c r="AL53" s="657">
        <v>10</v>
      </c>
      <c r="AM53" s="656">
        <v>0</v>
      </c>
      <c r="AN53" s="664">
        <f t="shared" si="35"/>
        <v>1</v>
      </c>
      <c r="AO53" s="664">
        <f t="shared" si="36"/>
        <v>4</v>
      </c>
      <c r="AP53" s="664">
        <f t="shared" si="37"/>
        <v>5</v>
      </c>
      <c r="AQ53" s="664">
        <f t="shared" si="38"/>
        <v>2</v>
      </c>
      <c r="AR53" s="664">
        <f t="shared" si="39"/>
        <v>6</v>
      </c>
      <c r="AS53" s="664">
        <f t="shared" si="40"/>
        <v>1</v>
      </c>
      <c r="AT53" s="664">
        <f t="shared" si="41"/>
        <v>10</v>
      </c>
      <c r="AU53" s="664">
        <f t="shared" si="42"/>
        <v>1</v>
      </c>
      <c r="AV53" s="664">
        <f t="shared" si="43"/>
        <v>1</v>
      </c>
      <c r="AW53" s="664">
        <f t="shared" si="44"/>
        <v>1</v>
      </c>
      <c r="AX53" s="664">
        <f t="shared" si="45"/>
        <v>1</v>
      </c>
      <c r="AY53" s="664">
        <f t="shared" si="46"/>
        <v>1</v>
      </c>
      <c r="AZ53" s="664">
        <f t="shared" si="47"/>
        <v>10</v>
      </c>
      <c r="BA53" s="664">
        <f t="shared" si="48"/>
        <v>5</v>
      </c>
      <c r="BB53" s="664">
        <f t="shared" si="49"/>
        <v>10</v>
      </c>
      <c r="BC53" s="664">
        <f t="shared" si="50"/>
        <v>1</v>
      </c>
      <c r="BD53" s="664">
        <f t="shared" si="51"/>
        <v>1</v>
      </c>
      <c r="BE53" s="664">
        <f t="shared" si="52"/>
        <v>1</v>
      </c>
      <c r="BF53" s="664">
        <f t="shared" si="53"/>
        <v>3</v>
      </c>
      <c r="BG53" s="664">
        <f t="shared" si="54"/>
        <v>1</v>
      </c>
      <c r="BH53" s="664">
        <f t="shared" si="55"/>
        <v>10</v>
      </c>
      <c r="BI53" s="1009">
        <f t="shared" si="56"/>
        <v>1</v>
      </c>
      <c r="BJ53" s="1020">
        <f t="shared" si="57"/>
        <v>7</v>
      </c>
      <c r="BK53" s="931">
        <f t="shared" si="58"/>
        <v>4.8</v>
      </c>
      <c r="BL53" s="931">
        <f t="shared" si="59"/>
        <v>8.25</v>
      </c>
      <c r="BM53" s="931">
        <f t="shared" si="60"/>
        <v>3.92</v>
      </c>
      <c r="BN53" s="931">
        <f t="shared" si="61"/>
        <v>7.4666666666666668</v>
      </c>
      <c r="BO53" s="931">
        <f t="shared" si="62"/>
        <v>1.666666666666667</v>
      </c>
      <c r="BP53" s="1021">
        <f t="shared" si="63"/>
        <v>4</v>
      </c>
      <c r="BQ53" s="1011">
        <f t="shared" si="64"/>
        <v>37.103333333333332</v>
      </c>
      <c r="BR53" s="668">
        <f t="shared" si="65"/>
        <v>50</v>
      </c>
      <c r="BS53" s="942">
        <v>48</v>
      </c>
      <c r="BT53" s="943" t="s">
        <v>284</v>
      </c>
      <c r="BU53" s="636" t="s">
        <v>1261</v>
      </c>
      <c r="BV53" s="1047" t="str">
        <f>VLOOKUP($B53,Tiers!$A:$K,11,FALSE)</f>
        <v>Tier 3</v>
      </c>
      <c r="BW53" s="622"/>
    </row>
    <row r="54" spans="1:75" x14ac:dyDescent="0.25">
      <c r="A54" s="642">
        <v>105</v>
      </c>
      <c r="B54" s="600" t="s">
        <v>941</v>
      </c>
      <c r="C54" s="574" t="s">
        <v>360</v>
      </c>
      <c r="D54" s="584" t="s">
        <v>350</v>
      </c>
      <c r="E54" s="576" t="s">
        <v>868</v>
      </c>
      <c r="F54" s="576" t="s">
        <v>614</v>
      </c>
      <c r="G54" s="578">
        <v>11143.5316455232</v>
      </c>
      <c r="H54" s="579">
        <f t="shared" si="66"/>
        <v>2.1105173571066667</v>
      </c>
      <c r="I54" s="576" t="s">
        <v>1641</v>
      </c>
      <c r="J54" s="580"/>
      <c r="K54" s="580" t="s">
        <v>824</v>
      </c>
      <c r="L54" s="580" t="s">
        <v>824</v>
      </c>
      <c r="M54" s="580"/>
      <c r="N54" s="581" t="s">
        <v>262</v>
      </c>
      <c r="O54" s="581" t="s">
        <v>262</v>
      </c>
      <c r="P54" s="583" t="s">
        <v>670</v>
      </c>
      <c r="Q54" s="573" t="str">
        <f t="shared" si="34"/>
        <v>C5</v>
      </c>
      <c r="R54" s="656">
        <v>0</v>
      </c>
      <c r="S54" s="657">
        <v>350</v>
      </c>
      <c r="T54" s="654">
        <v>0</v>
      </c>
      <c r="U54" s="651">
        <v>0</v>
      </c>
      <c r="V54" s="651">
        <v>0</v>
      </c>
      <c r="W54" s="656">
        <v>0</v>
      </c>
      <c r="X54" s="654">
        <v>0</v>
      </c>
      <c r="Y54" s="657">
        <v>10</v>
      </c>
      <c r="Z54" s="656">
        <v>0</v>
      </c>
      <c r="AA54" s="655">
        <v>5</v>
      </c>
      <c r="AB54" s="655">
        <v>10</v>
      </c>
      <c r="AC54" s="657">
        <v>5</v>
      </c>
      <c r="AD54" s="657">
        <v>5</v>
      </c>
      <c r="AE54" s="657">
        <v>10</v>
      </c>
      <c r="AF54" s="655">
        <v>5</v>
      </c>
      <c r="AG54" s="657">
        <v>5</v>
      </c>
      <c r="AH54" s="654">
        <v>0</v>
      </c>
      <c r="AI54" s="656">
        <v>0</v>
      </c>
      <c r="AJ54" s="657">
        <v>3</v>
      </c>
      <c r="AK54" s="656">
        <v>0</v>
      </c>
      <c r="AL54" s="657">
        <v>10</v>
      </c>
      <c r="AM54" s="655">
        <v>10</v>
      </c>
      <c r="AN54" s="664">
        <f t="shared" si="35"/>
        <v>1</v>
      </c>
      <c r="AO54" s="664">
        <f t="shared" si="36"/>
        <v>1</v>
      </c>
      <c r="AP54" s="664">
        <f t="shared" si="37"/>
        <v>1</v>
      </c>
      <c r="AQ54" s="664">
        <f t="shared" si="38"/>
        <v>1</v>
      </c>
      <c r="AR54" s="664">
        <f t="shared" si="39"/>
        <v>1</v>
      </c>
      <c r="AS54" s="664">
        <f t="shared" si="40"/>
        <v>1</v>
      </c>
      <c r="AT54" s="664">
        <f t="shared" si="41"/>
        <v>1</v>
      </c>
      <c r="AU54" s="664">
        <f t="shared" si="42"/>
        <v>10</v>
      </c>
      <c r="AV54" s="664">
        <f t="shared" si="43"/>
        <v>1</v>
      </c>
      <c r="AW54" s="664">
        <f t="shared" si="44"/>
        <v>5</v>
      </c>
      <c r="AX54" s="664">
        <f t="shared" si="45"/>
        <v>10</v>
      </c>
      <c r="AY54" s="664">
        <f t="shared" si="46"/>
        <v>5</v>
      </c>
      <c r="AZ54" s="664">
        <f t="shared" si="47"/>
        <v>5</v>
      </c>
      <c r="BA54" s="664">
        <f t="shared" si="48"/>
        <v>10</v>
      </c>
      <c r="BB54" s="664">
        <f t="shared" si="49"/>
        <v>5</v>
      </c>
      <c r="BC54" s="664">
        <f t="shared" si="50"/>
        <v>5</v>
      </c>
      <c r="BD54" s="664">
        <f t="shared" si="51"/>
        <v>1</v>
      </c>
      <c r="BE54" s="664">
        <f t="shared" si="52"/>
        <v>1</v>
      </c>
      <c r="BF54" s="664">
        <f t="shared" si="53"/>
        <v>1</v>
      </c>
      <c r="BG54" s="664">
        <f t="shared" si="54"/>
        <v>1</v>
      </c>
      <c r="BH54" s="664">
        <f t="shared" si="55"/>
        <v>10</v>
      </c>
      <c r="BI54" s="1009">
        <f t="shared" si="56"/>
        <v>10</v>
      </c>
      <c r="BJ54" s="1020">
        <f t="shared" si="57"/>
        <v>2.1</v>
      </c>
      <c r="BK54" s="931">
        <f t="shared" si="58"/>
        <v>1.6</v>
      </c>
      <c r="BL54" s="931">
        <f t="shared" si="59"/>
        <v>8.25</v>
      </c>
      <c r="BM54" s="931">
        <f t="shared" si="60"/>
        <v>7.2800000000000011</v>
      </c>
      <c r="BN54" s="931">
        <f t="shared" si="61"/>
        <v>9.3333333333333339</v>
      </c>
      <c r="BO54" s="931">
        <f t="shared" si="62"/>
        <v>1</v>
      </c>
      <c r="BP54" s="1021">
        <f t="shared" si="63"/>
        <v>7.0000000000000009</v>
      </c>
      <c r="BQ54" s="1011">
        <f t="shared" si="64"/>
        <v>36.563333333333333</v>
      </c>
      <c r="BR54" s="668">
        <f t="shared" si="65"/>
        <v>51</v>
      </c>
      <c r="BS54" s="942">
        <v>24</v>
      </c>
      <c r="BT54" s="943" t="s">
        <v>279</v>
      </c>
      <c r="BU54" s="636" t="s">
        <v>1261</v>
      </c>
      <c r="BV54" s="1048" t="str">
        <f>VLOOKUP($B54,Tiers!$A:$K,11,FALSE)</f>
        <v>Tier 3</v>
      </c>
      <c r="BW54" s="622"/>
    </row>
    <row r="55" spans="1:75" x14ac:dyDescent="0.25">
      <c r="A55" s="641">
        <v>47</v>
      </c>
      <c r="B55" s="600" t="s">
        <v>922</v>
      </c>
      <c r="C55" s="574" t="s">
        <v>37</v>
      </c>
      <c r="D55" s="584" t="s">
        <v>287</v>
      </c>
      <c r="E55" s="576" t="s">
        <v>618</v>
      </c>
      <c r="F55" s="576" t="s">
        <v>970</v>
      </c>
      <c r="G55" s="578">
        <v>2363.8478341462501</v>
      </c>
      <c r="H55" s="579">
        <f t="shared" si="66"/>
        <v>0.44769845343678977</v>
      </c>
      <c r="I55" s="576" t="s">
        <v>1481</v>
      </c>
      <c r="J55" s="580" t="s">
        <v>824</v>
      </c>
      <c r="K55" s="580" t="s">
        <v>824</v>
      </c>
      <c r="L55" s="580"/>
      <c r="M55" s="580"/>
      <c r="N55" s="581">
        <v>2</v>
      </c>
      <c r="O55" s="581">
        <v>2</v>
      </c>
      <c r="P55" s="583" t="s">
        <v>670</v>
      </c>
      <c r="Q55" s="573" t="str">
        <f t="shared" si="34"/>
        <v>M67</v>
      </c>
      <c r="R55" s="656">
        <v>0</v>
      </c>
      <c r="S55" s="657">
        <v>275</v>
      </c>
      <c r="T55" s="654">
        <v>0</v>
      </c>
      <c r="U55" s="652">
        <v>1</v>
      </c>
      <c r="V55" s="652">
        <v>1.1399999999999999</v>
      </c>
      <c r="W55" s="658">
        <v>5</v>
      </c>
      <c r="X55" s="654">
        <v>0</v>
      </c>
      <c r="Y55" s="656">
        <v>0</v>
      </c>
      <c r="Z55" s="656">
        <v>0</v>
      </c>
      <c r="AA55" s="654">
        <v>0</v>
      </c>
      <c r="AB55" s="654">
        <v>0</v>
      </c>
      <c r="AC55" s="656">
        <v>0</v>
      </c>
      <c r="AD55" s="657">
        <v>10</v>
      </c>
      <c r="AE55" s="657">
        <v>5</v>
      </c>
      <c r="AF55" s="659">
        <v>10</v>
      </c>
      <c r="AG55" s="657">
        <v>10</v>
      </c>
      <c r="AH55" s="654">
        <v>0</v>
      </c>
      <c r="AI55" s="656">
        <v>0</v>
      </c>
      <c r="AJ55" s="657">
        <v>5</v>
      </c>
      <c r="AK55" s="657">
        <v>10</v>
      </c>
      <c r="AL55" s="657">
        <v>10</v>
      </c>
      <c r="AM55" s="654">
        <v>0</v>
      </c>
      <c r="AN55" s="664">
        <f t="shared" si="35"/>
        <v>1</v>
      </c>
      <c r="AO55" s="664">
        <f t="shared" si="36"/>
        <v>1</v>
      </c>
      <c r="AP55" s="664">
        <f t="shared" si="37"/>
        <v>1</v>
      </c>
      <c r="AQ55" s="664">
        <f t="shared" si="38"/>
        <v>2</v>
      </c>
      <c r="AR55" s="664">
        <f t="shared" si="39"/>
        <v>7</v>
      </c>
      <c r="AS55" s="664">
        <f t="shared" si="40"/>
        <v>5</v>
      </c>
      <c r="AT55" s="664">
        <f t="shared" si="41"/>
        <v>1</v>
      </c>
      <c r="AU55" s="664">
        <f t="shared" si="42"/>
        <v>1</v>
      </c>
      <c r="AV55" s="664">
        <f t="shared" si="43"/>
        <v>1</v>
      </c>
      <c r="AW55" s="664">
        <f t="shared" si="44"/>
        <v>1</v>
      </c>
      <c r="AX55" s="664">
        <f t="shared" si="45"/>
        <v>1</v>
      </c>
      <c r="AY55" s="664">
        <f t="shared" si="46"/>
        <v>1</v>
      </c>
      <c r="AZ55" s="664">
        <f t="shared" si="47"/>
        <v>10</v>
      </c>
      <c r="BA55" s="664">
        <f t="shared" si="48"/>
        <v>5</v>
      </c>
      <c r="BB55" s="664">
        <f t="shared" si="49"/>
        <v>10</v>
      </c>
      <c r="BC55" s="664">
        <f t="shared" si="50"/>
        <v>10</v>
      </c>
      <c r="BD55" s="664">
        <f t="shared" si="51"/>
        <v>1</v>
      </c>
      <c r="BE55" s="664">
        <f t="shared" si="52"/>
        <v>1</v>
      </c>
      <c r="BF55" s="664">
        <f t="shared" si="53"/>
        <v>5</v>
      </c>
      <c r="BG55" s="664">
        <f t="shared" si="54"/>
        <v>10</v>
      </c>
      <c r="BH55" s="664">
        <f t="shared" si="55"/>
        <v>10</v>
      </c>
      <c r="BI55" s="1009">
        <f t="shared" si="56"/>
        <v>1</v>
      </c>
      <c r="BJ55" s="1020">
        <f t="shared" si="57"/>
        <v>2.1</v>
      </c>
      <c r="BK55" s="931">
        <f t="shared" si="58"/>
        <v>7.4666666666666668</v>
      </c>
      <c r="BL55" s="931">
        <f t="shared" si="59"/>
        <v>1.5</v>
      </c>
      <c r="BM55" s="931">
        <f t="shared" si="60"/>
        <v>3.92</v>
      </c>
      <c r="BN55" s="931">
        <f t="shared" si="61"/>
        <v>11.66666666666667</v>
      </c>
      <c r="BO55" s="931">
        <f t="shared" si="62"/>
        <v>2.3333333333333335</v>
      </c>
      <c r="BP55" s="1021">
        <f t="shared" si="63"/>
        <v>7.0000000000000009</v>
      </c>
      <c r="BQ55" s="1011">
        <f t="shared" si="64"/>
        <v>35.986666666666672</v>
      </c>
      <c r="BR55" s="668">
        <f t="shared" si="65"/>
        <v>52</v>
      </c>
      <c r="BS55" s="942">
        <v>10</v>
      </c>
      <c r="BT55" s="943" t="s">
        <v>279</v>
      </c>
      <c r="BU55" s="636" t="s">
        <v>1261</v>
      </c>
      <c r="BV55" s="1048" t="str">
        <f>VLOOKUP($B55,Tiers!$A:$K,11,FALSE)</f>
        <v>Tier 4</v>
      </c>
      <c r="BW55" s="622"/>
    </row>
    <row r="56" spans="1:75" x14ac:dyDescent="0.25">
      <c r="A56" s="640">
        <v>22</v>
      </c>
      <c r="B56" s="574" t="s">
        <v>1125</v>
      </c>
      <c r="C56" s="574" t="s">
        <v>197</v>
      </c>
      <c r="D56" s="889" t="s">
        <v>1337</v>
      </c>
      <c r="E56" s="576" t="s">
        <v>862</v>
      </c>
      <c r="F56" s="576" t="s">
        <v>1339</v>
      </c>
      <c r="G56" s="889">
        <v>1</v>
      </c>
      <c r="H56" s="889">
        <v>1</v>
      </c>
      <c r="I56" s="889" t="s">
        <v>1646</v>
      </c>
      <c r="J56" s="276" t="s">
        <v>824</v>
      </c>
      <c r="K56" s="276" t="s">
        <v>824</v>
      </c>
      <c r="L56" s="276" t="s">
        <v>824</v>
      </c>
      <c r="M56" s="276" t="s">
        <v>824</v>
      </c>
      <c r="N56" s="580"/>
      <c r="O56" s="580"/>
      <c r="P56" s="580" t="s">
        <v>670</v>
      </c>
      <c r="Q56" s="573" t="str">
        <f t="shared" si="34"/>
        <v>M24</v>
      </c>
      <c r="R56" s="656">
        <v>0</v>
      </c>
      <c r="S56" s="658">
        <v>1285</v>
      </c>
      <c r="T56" s="654">
        <v>0</v>
      </c>
      <c r="U56" s="653">
        <v>1.96</v>
      </c>
      <c r="V56" s="653">
        <v>0.68</v>
      </c>
      <c r="W56" s="656">
        <v>0</v>
      </c>
      <c r="X56" s="654">
        <v>0</v>
      </c>
      <c r="Y56" s="656">
        <v>0</v>
      </c>
      <c r="Z56" s="657">
        <v>10</v>
      </c>
      <c r="AA56" s="659">
        <v>5</v>
      </c>
      <c r="AB56" s="654">
        <v>0</v>
      </c>
      <c r="AC56" s="658">
        <v>10</v>
      </c>
      <c r="AD56" s="656">
        <v>0</v>
      </c>
      <c r="AE56" s="657">
        <v>10</v>
      </c>
      <c r="AF56" s="654">
        <v>0</v>
      </c>
      <c r="AG56" s="658">
        <v>10</v>
      </c>
      <c r="AH56" s="659">
        <v>5</v>
      </c>
      <c r="AI56" s="658">
        <v>10</v>
      </c>
      <c r="AJ56" s="658">
        <v>3</v>
      </c>
      <c r="AK56" s="656">
        <v>0</v>
      </c>
      <c r="AL56" s="656">
        <v>0</v>
      </c>
      <c r="AM56" s="659">
        <v>10</v>
      </c>
      <c r="AN56" s="664">
        <f t="shared" si="35"/>
        <v>1</v>
      </c>
      <c r="AO56" s="664">
        <f t="shared" si="36"/>
        <v>2</v>
      </c>
      <c r="AP56" s="664">
        <f t="shared" si="37"/>
        <v>1</v>
      </c>
      <c r="AQ56" s="664">
        <f t="shared" si="38"/>
        <v>4</v>
      </c>
      <c r="AR56" s="664">
        <f t="shared" si="39"/>
        <v>4</v>
      </c>
      <c r="AS56" s="664">
        <f t="shared" si="40"/>
        <v>1</v>
      </c>
      <c r="AT56" s="664">
        <f t="shared" si="41"/>
        <v>1</v>
      </c>
      <c r="AU56" s="664">
        <f t="shared" si="42"/>
        <v>1</v>
      </c>
      <c r="AV56" s="664">
        <f t="shared" si="43"/>
        <v>10</v>
      </c>
      <c r="AW56" s="664">
        <f t="shared" si="44"/>
        <v>5</v>
      </c>
      <c r="AX56" s="664">
        <f t="shared" si="45"/>
        <v>1</v>
      </c>
      <c r="AY56" s="664">
        <f t="shared" si="46"/>
        <v>10</v>
      </c>
      <c r="AZ56" s="664">
        <f t="shared" si="47"/>
        <v>1</v>
      </c>
      <c r="BA56" s="664">
        <f t="shared" si="48"/>
        <v>10</v>
      </c>
      <c r="BB56" s="664">
        <f t="shared" si="49"/>
        <v>1</v>
      </c>
      <c r="BC56" s="664">
        <f t="shared" si="50"/>
        <v>10</v>
      </c>
      <c r="BD56" s="664">
        <f t="shared" si="51"/>
        <v>5</v>
      </c>
      <c r="BE56" s="664">
        <f t="shared" si="52"/>
        <v>10</v>
      </c>
      <c r="BF56" s="664">
        <f t="shared" si="53"/>
        <v>1</v>
      </c>
      <c r="BG56" s="664">
        <f t="shared" si="54"/>
        <v>1</v>
      </c>
      <c r="BH56" s="664">
        <f t="shared" si="55"/>
        <v>1</v>
      </c>
      <c r="BI56" s="1009">
        <f t="shared" si="56"/>
        <v>10</v>
      </c>
      <c r="BJ56" s="1020">
        <f t="shared" si="57"/>
        <v>2.8</v>
      </c>
      <c r="BK56" s="931">
        <f t="shared" si="58"/>
        <v>4.8</v>
      </c>
      <c r="BL56" s="931">
        <f t="shared" si="59"/>
        <v>1.5</v>
      </c>
      <c r="BM56" s="931">
        <f t="shared" si="60"/>
        <v>7.5600000000000014</v>
      </c>
      <c r="BN56" s="931">
        <f t="shared" si="61"/>
        <v>9.8000000000000007</v>
      </c>
      <c r="BO56" s="931">
        <f t="shared" si="62"/>
        <v>5.333333333333333</v>
      </c>
      <c r="BP56" s="1021">
        <f t="shared" si="63"/>
        <v>4</v>
      </c>
      <c r="BQ56" s="1011">
        <f t="shared" si="64"/>
        <v>35.793333333333337</v>
      </c>
      <c r="BR56" s="668">
        <f t="shared" si="65"/>
        <v>53</v>
      </c>
      <c r="BS56" s="944" t="s">
        <v>376</v>
      </c>
      <c r="BT56" s="941" t="s">
        <v>376</v>
      </c>
      <c r="BU56" s="636" t="s">
        <v>1261</v>
      </c>
      <c r="BV56" s="1045" t="str">
        <f>VLOOKUP($B56,Tiers!$A:$K,11,FALSE)</f>
        <v>Tier 2</v>
      </c>
      <c r="BW56" s="670" t="s">
        <v>1372</v>
      </c>
    </row>
    <row r="57" spans="1:75" x14ac:dyDescent="0.25">
      <c r="A57" s="640">
        <v>42</v>
      </c>
      <c r="B57" s="600" t="s">
        <v>917</v>
      </c>
      <c r="C57" s="574" t="s">
        <v>37</v>
      </c>
      <c r="D57" s="584" t="s">
        <v>293</v>
      </c>
      <c r="E57" s="576" t="s">
        <v>621</v>
      </c>
      <c r="F57" s="576" t="s">
        <v>1635</v>
      </c>
      <c r="G57" s="578">
        <v>29500.696155003599</v>
      </c>
      <c r="H57" s="579">
        <f>G57/5280</f>
        <v>5.5872530596597727</v>
      </c>
      <c r="I57" s="576" t="s">
        <v>1481</v>
      </c>
      <c r="J57" s="580" t="s">
        <v>824</v>
      </c>
      <c r="K57" s="580"/>
      <c r="L57" s="580" t="s">
        <v>824</v>
      </c>
      <c r="M57" s="580"/>
      <c r="N57" s="581">
        <v>2</v>
      </c>
      <c r="O57" s="581">
        <v>2</v>
      </c>
      <c r="P57" s="583" t="s">
        <v>670</v>
      </c>
      <c r="Q57" s="573" t="str">
        <f t="shared" si="34"/>
        <v>M61</v>
      </c>
      <c r="R57" s="656">
        <v>0</v>
      </c>
      <c r="S57" s="657">
        <v>1015</v>
      </c>
      <c r="T57" s="654">
        <v>0</v>
      </c>
      <c r="U57" s="651">
        <v>0</v>
      </c>
      <c r="V57" s="652">
        <v>0.91</v>
      </c>
      <c r="W57" s="656">
        <v>0</v>
      </c>
      <c r="X57" s="654">
        <v>0</v>
      </c>
      <c r="Y57" s="656">
        <v>0</v>
      </c>
      <c r="Z57" s="657">
        <v>10</v>
      </c>
      <c r="AA57" s="654">
        <v>0</v>
      </c>
      <c r="AB57" s="654">
        <v>0</v>
      </c>
      <c r="AC57" s="657">
        <v>5</v>
      </c>
      <c r="AD57" s="656">
        <v>0</v>
      </c>
      <c r="AE57" s="657">
        <v>5</v>
      </c>
      <c r="AF57" s="659">
        <v>10</v>
      </c>
      <c r="AG57" s="657">
        <v>10</v>
      </c>
      <c r="AH57" s="654">
        <v>0</v>
      </c>
      <c r="AI57" s="656">
        <v>0</v>
      </c>
      <c r="AJ57" s="657">
        <v>5</v>
      </c>
      <c r="AK57" s="657">
        <v>5</v>
      </c>
      <c r="AL57" s="657">
        <v>10</v>
      </c>
      <c r="AM57" s="655">
        <v>10</v>
      </c>
      <c r="AN57" s="664">
        <f t="shared" si="35"/>
        <v>1</v>
      </c>
      <c r="AO57" s="664">
        <f t="shared" si="36"/>
        <v>1</v>
      </c>
      <c r="AP57" s="664">
        <f t="shared" si="37"/>
        <v>1</v>
      </c>
      <c r="AQ57" s="664">
        <f t="shared" si="38"/>
        <v>1</v>
      </c>
      <c r="AR57" s="664">
        <f t="shared" si="39"/>
        <v>6</v>
      </c>
      <c r="AS57" s="664">
        <f t="shared" si="40"/>
        <v>1</v>
      </c>
      <c r="AT57" s="664">
        <f t="shared" si="41"/>
        <v>1</v>
      </c>
      <c r="AU57" s="664">
        <f t="shared" si="42"/>
        <v>1</v>
      </c>
      <c r="AV57" s="664">
        <f t="shared" si="43"/>
        <v>10</v>
      </c>
      <c r="AW57" s="664">
        <f t="shared" si="44"/>
        <v>1</v>
      </c>
      <c r="AX57" s="664">
        <f t="shared" si="45"/>
        <v>1</v>
      </c>
      <c r="AY57" s="664">
        <f t="shared" si="46"/>
        <v>5</v>
      </c>
      <c r="AZ57" s="664">
        <f t="shared" si="47"/>
        <v>1</v>
      </c>
      <c r="BA57" s="664">
        <f t="shared" si="48"/>
        <v>5</v>
      </c>
      <c r="BB57" s="664">
        <f t="shared" si="49"/>
        <v>10</v>
      </c>
      <c r="BC57" s="664">
        <f t="shared" si="50"/>
        <v>10</v>
      </c>
      <c r="BD57" s="664">
        <f t="shared" si="51"/>
        <v>1</v>
      </c>
      <c r="BE57" s="664">
        <f t="shared" si="52"/>
        <v>1</v>
      </c>
      <c r="BF57" s="664">
        <f t="shared" si="53"/>
        <v>5</v>
      </c>
      <c r="BG57" s="664">
        <f t="shared" si="54"/>
        <v>5</v>
      </c>
      <c r="BH57" s="664">
        <f t="shared" si="55"/>
        <v>10</v>
      </c>
      <c r="BI57" s="1009">
        <f t="shared" si="56"/>
        <v>10</v>
      </c>
      <c r="BJ57" s="1020">
        <f t="shared" si="57"/>
        <v>2.1</v>
      </c>
      <c r="BK57" s="931">
        <f t="shared" si="58"/>
        <v>4.2666666666666666</v>
      </c>
      <c r="BL57" s="931">
        <f t="shared" si="59"/>
        <v>1.5</v>
      </c>
      <c r="BM57" s="931">
        <f t="shared" si="60"/>
        <v>5.0400000000000009</v>
      </c>
      <c r="BN57" s="931">
        <f t="shared" si="61"/>
        <v>11.66666666666667</v>
      </c>
      <c r="BO57" s="931">
        <f t="shared" si="62"/>
        <v>2.3333333333333335</v>
      </c>
      <c r="BP57" s="1021">
        <f t="shared" si="63"/>
        <v>8.3333333333333357</v>
      </c>
      <c r="BQ57" s="1011">
        <f t="shared" si="64"/>
        <v>35.240000000000009</v>
      </c>
      <c r="BR57" s="668">
        <f t="shared" si="65"/>
        <v>54</v>
      </c>
      <c r="BS57" s="942">
        <v>47</v>
      </c>
      <c r="BT57" s="943" t="s">
        <v>272</v>
      </c>
      <c r="BU57" s="636" t="s">
        <v>1261</v>
      </c>
      <c r="BV57" s="1048" t="str">
        <f>VLOOKUP($B57,Tiers!$A:$K,11,FALSE)</f>
        <v>Tier 4</v>
      </c>
      <c r="BW57" s="622"/>
    </row>
    <row r="58" spans="1:75" x14ac:dyDescent="0.25">
      <c r="A58" s="640">
        <v>4</v>
      </c>
      <c r="B58" s="574" t="s">
        <v>1106</v>
      </c>
      <c r="C58" s="574" t="s">
        <v>197</v>
      </c>
      <c r="D58" s="577" t="s">
        <v>756</v>
      </c>
      <c r="E58" s="576" t="s">
        <v>862</v>
      </c>
      <c r="F58" s="576" t="s">
        <v>794</v>
      </c>
      <c r="G58" s="577">
        <v>1</v>
      </c>
      <c r="H58" s="577">
        <v>1</v>
      </c>
      <c r="I58" s="577" t="s">
        <v>1049</v>
      </c>
      <c r="J58" s="276" t="s">
        <v>824</v>
      </c>
      <c r="K58" s="276" t="s">
        <v>824</v>
      </c>
      <c r="L58" s="276" t="s">
        <v>824</v>
      </c>
      <c r="M58" s="276" t="s">
        <v>824</v>
      </c>
      <c r="N58" s="580"/>
      <c r="O58" s="580"/>
      <c r="P58" s="580" t="s">
        <v>670</v>
      </c>
      <c r="Q58" s="573" t="str">
        <f t="shared" si="34"/>
        <v>M4</v>
      </c>
      <c r="R58" s="656">
        <v>0</v>
      </c>
      <c r="S58" s="657">
        <v>1285</v>
      </c>
      <c r="T58" s="656">
        <v>0</v>
      </c>
      <c r="U58" s="650">
        <v>2.1</v>
      </c>
      <c r="V58" s="652">
        <v>0.73</v>
      </c>
      <c r="W58" s="654">
        <v>0</v>
      </c>
      <c r="X58" s="654">
        <v>0</v>
      </c>
      <c r="Y58" s="655">
        <v>10</v>
      </c>
      <c r="Z58" s="655">
        <v>10</v>
      </c>
      <c r="AA58" s="655">
        <v>5</v>
      </c>
      <c r="AB58" s="654">
        <v>0</v>
      </c>
      <c r="AC58" s="657">
        <v>5</v>
      </c>
      <c r="AD58" s="656">
        <v>0</v>
      </c>
      <c r="AE58" s="654">
        <v>0</v>
      </c>
      <c r="AF58" s="654">
        <v>0</v>
      </c>
      <c r="AG58" s="654">
        <v>0</v>
      </c>
      <c r="AH58" s="655">
        <v>5</v>
      </c>
      <c r="AI58" s="656">
        <v>0</v>
      </c>
      <c r="AJ58" s="657">
        <v>3</v>
      </c>
      <c r="AK58" s="655">
        <v>10</v>
      </c>
      <c r="AL58" s="657">
        <v>10</v>
      </c>
      <c r="AM58" s="654">
        <v>0</v>
      </c>
      <c r="AN58" s="664">
        <f t="shared" si="35"/>
        <v>1</v>
      </c>
      <c r="AO58" s="664">
        <f t="shared" si="36"/>
        <v>2</v>
      </c>
      <c r="AP58" s="664">
        <f t="shared" si="37"/>
        <v>1</v>
      </c>
      <c r="AQ58" s="664">
        <f t="shared" si="38"/>
        <v>5</v>
      </c>
      <c r="AR58" s="664">
        <f t="shared" si="39"/>
        <v>5</v>
      </c>
      <c r="AS58" s="664">
        <f t="shared" si="40"/>
        <v>1</v>
      </c>
      <c r="AT58" s="664">
        <f t="shared" si="41"/>
        <v>1</v>
      </c>
      <c r="AU58" s="664">
        <f t="shared" si="42"/>
        <v>10</v>
      </c>
      <c r="AV58" s="664">
        <f t="shared" si="43"/>
        <v>10</v>
      </c>
      <c r="AW58" s="664">
        <f t="shared" si="44"/>
        <v>5</v>
      </c>
      <c r="AX58" s="664">
        <f t="shared" si="45"/>
        <v>1</v>
      </c>
      <c r="AY58" s="664">
        <f t="shared" si="46"/>
        <v>5</v>
      </c>
      <c r="AZ58" s="664">
        <f t="shared" si="47"/>
        <v>1</v>
      </c>
      <c r="BA58" s="664">
        <f t="shared" si="48"/>
        <v>1</v>
      </c>
      <c r="BB58" s="664">
        <f t="shared" si="49"/>
        <v>1</v>
      </c>
      <c r="BC58" s="664">
        <f t="shared" si="50"/>
        <v>1</v>
      </c>
      <c r="BD58" s="664">
        <f t="shared" si="51"/>
        <v>5</v>
      </c>
      <c r="BE58" s="664">
        <f t="shared" si="52"/>
        <v>1</v>
      </c>
      <c r="BF58" s="664">
        <f t="shared" si="53"/>
        <v>1</v>
      </c>
      <c r="BG58" s="664">
        <f t="shared" si="54"/>
        <v>10</v>
      </c>
      <c r="BH58" s="664">
        <f t="shared" si="55"/>
        <v>10</v>
      </c>
      <c r="BI58" s="1009">
        <f t="shared" si="56"/>
        <v>1</v>
      </c>
      <c r="BJ58" s="1020">
        <f t="shared" si="57"/>
        <v>2.8</v>
      </c>
      <c r="BK58" s="931">
        <f t="shared" si="58"/>
        <v>5.8666666666666671</v>
      </c>
      <c r="BL58" s="931">
        <f t="shared" si="59"/>
        <v>8.25</v>
      </c>
      <c r="BM58" s="931">
        <f t="shared" si="60"/>
        <v>6.160000000000001</v>
      </c>
      <c r="BN58" s="931">
        <f t="shared" si="61"/>
        <v>1.4000000000000001</v>
      </c>
      <c r="BO58" s="931">
        <f t="shared" si="62"/>
        <v>2.3333333333333335</v>
      </c>
      <c r="BP58" s="1021">
        <f t="shared" si="63"/>
        <v>7.0000000000000009</v>
      </c>
      <c r="BQ58" s="1011">
        <f t="shared" si="64"/>
        <v>33.81</v>
      </c>
      <c r="BR58" s="668">
        <f t="shared" si="65"/>
        <v>55</v>
      </c>
      <c r="BS58" s="944" t="s">
        <v>376</v>
      </c>
      <c r="BT58" s="941" t="s">
        <v>376</v>
      </c>
      <c r="BU58" s="636" t="s">
        <v>1261</v>
      </c>
      <c r="BV58" s="1048" t="str">
        <f>VLOOKUP($B58,Tiers!$A:$K,11,FALSE)</f>
        <v>Tier 4</v>
      </c>
      <c r="BW58" s="670"/>
    </row>
    <row r="59" spans="1:75" ht="13.8" x14ac:dyDescent="0.3">
      <c r="A59" s="640">
        <v>106</v>
      </c>
      <c r="B59" s="600" t="s">
        <v>1131</v>
      </c>
      <c r="C59" s="574" t="s">
        <v>360</v>
      </c>
      <c r="D59" s="584" t="s">
        <v>1653</v>
      </c>
      <c r="E59" s="576" t="s">
        <v>1623</v>
      </c>
      <c r="F59" s="576" t="s">
        <v>878</v>
      </c>
      <c r="G59" s="279">
        <v>2099.0878360000002</v>
      </c>
      <c r="H59" s="579">
        <f>G59/5280</f>
        <v>0.39755451439393941</v>
      </c>
      <c r="I59" s="576" t="s">
        <v>343</v>
      </c>
      <c r="J59" s="580" t="s">
        <v>824</v>
      </c>
      <c r="K59" s="580"/>
      <c r="L59" s="580"/>
      <c r="M59" s="580"/>
      <c r="N59" s="581" t="s">
        <v>262</v>
      </c>
      <c r="O59" s="581"/>
      <c r="P59" s="583" t="s">
        <v>779</v>
      </c>
      <c r="Q59" s="573" t="str">
        <f t="shared" si="34"/>
        <v>C6</v>
      </c>
      <c r="R59" s="656">
        <v>0</v>
      </c>
      <c r="S59" s="656">
        <v>0</v>
      </c>
      <c r="T59" s="654">
        <v>0</v>
      </c>
      <c r="U59" s="651">
        <v>0</v>
      </c>
      <c r="V59" s="651">
        <v>0</v>
      </c>
      <c r="W59" s="658">
        <v>10</v>
      </c>
      <c r="X59" s="654">
        <v>0</v>
      </c>
      <c r="Y59" s="656">
        <v>0</v>
      </c>
      <c r="Z59" s="656">
        <v>0</v>
      </c>
      <c r="AA59" s="654">
        <v>0</v>
      </c>
      <c r="AB59" s="654">
        <v>0</v>
      </c>
      <c r="AC59" s="656">
        <v>0</v>
      </c>
      <c r="AD59" s="656">
        <v>0</v>
      </c>
      <c r="AE59" s="657">
        <v>10</v>
      </c>
      <c r="AF59" s="655">
        <v>10</v>
      </c>
      <c r="AG59" s="657">
        <v>5</v>
      </c>
      <c r="AH59" s="654">
        <v>0</v>
      </c>
      <c r="AI59" s="656">
        <v>0</v>
      </c>
      <c r="AJ59" s="657">
        <v>5</v>
      </c>
      <c r="AK59" s="657">
        <v>10</v>
      </c>
      <c r="AL59" s="657">
        <v>10</v>
      </c>
      <c r="AM59" s="657">
        <v>5</v>
      </c>
      <c r="AN59" s="664">
        <f t="shared" si="35"/>
        <v>1</v>
      </c>
      <c r="AO59" s="664">
        <f t="shared" si="36"/>
        <v>1</v>
      </c>
      <c r="AP59" s="664">
        <f t="shared" si="37"/>
        <v>1</v>
      </c>
      <c r="AQ59" s="664">
        <f t="shared" si="38"/>
        <v>1</v>
      </c>
      <c r="AR59" s="664">
        <f t="shared" si="39"/>
        <v>1</v>
      </c>
      <c r="AS59" s="664">
        <f t="shared" si="40"/>
        <v>10</v>
      </c>
      <c r="AT59" s="664">
        <f t="shared" si="41"/>
        <v>1</v>
      </c>
      <c r="AU59" s="664">
        <f t="shared" si="42"/>
        <v>1</v>
      </c>
      <c r="AV59" s="664">
        <f t="shared" si="43"/>
        <v>1</v>
      </c>
      <c r="AW59" s="664">
        <f t="shared" si="44"/>
        <v>1</v>
      </c>
      <c r="AX59" s="664">
        <f t="shared" si="45"/>
        <v>1</v>
      </c>
      <c r="AY59" s="664">
        <f t="shared" si="46"/>
        <v>1</v>
      </c>
      <c r="AZ59" s="664">
        <f t="shared" si="47"/>
        <v>1</v>
      </c>
      <c r="BA59" s="664">
        <f t="shared" si="48"/>
        <v>10</v>
      </c>
      <c r="BB59" s="664">
        <f t="shared" si="49"/>
        <v>10</v>
      </c>
      <c r="BC59" s="664">
        <f t="shared" si="50"/>
        <v>5</v>
      </c>
      <c r="BD59" s="664">
        <f t="shared" si="51"/>
        <v>1</v>
      </c>
      <c r="BE59" s="664">
        <f t="shared" si="52"/>
        <v>1</v>
      </c>
      <c r="BF59" s="664">
        <f t="shared" si="53"/>
        <v>5</v>
      </c>
      <c r="BG59" s="664">
        <f t="shared" si="54"/>
        <v>10</v>
      </c>
      <c r="BH59" s="664">
        <f t="shared" si="55"/>
        <v>10</v>
      </c>
      <c r="BI59" s="1009">
        <f t="shared" si="56"/>
        <v>5</v>
      </c>
      <c r="BJ59" s="1020">
        <f t="shared" si="57"/>
        <v>2.1</v>
      </c>
      <c r="BK59" s="931">
        <f t="shared" si="58"/>
        <v>6.4</v>
      </c>
      <c r="BL59" s="931">
        <f t="shared" si="59"/>
        <v>1.5</v>
      </c>
      <c r="BM59" s="931">
        <f t="shared" si="60"/>
        <v>1.4000000000000001</v>
      </c>
      <c r="BN59" s="931">
        <f t="shared" si="61"/>
        <v>11.66666666666667</v>
      </c>
      <c r="BO59" s="931">
        <f t="shared" si="62"/>
        <v>2.3333333333333335</v>
      </c>
      <c r="BP59" s="1021">
        <f t="shared" si="63"/>
        <v>8.3333333333333357</v>
      </c>
      <c r="BQ59" s="1011">
        <f t="shared" si="64"/>
        <v>33.733333333333334</v>
      </c>
      <c r="BR59" s="668">
        <f t="shared" si="65"/>
        <v>56</v>
      </c>
      <c r="BS59" s="942">
        <v>36</v>
      </c>
      <c r="BT59" s="943" t="s">
        <v>279</v>
      </c>
      <c r="BU59" s="636" t="s">
        <v>1261</v>
      </c>
      <c r="BV59" s="1048" t="str">
        <f>VLOOKUP($B59,Tiers!$A:$K,11,FALSE)</f>
        <v>Tier 4</v>
      </c>
      <c r="BW59" s="622"/>
    </row>
    <row r="60" spans="1:75" x14ac:dyDescent="0.25">
      <c r="A60" s="642">
        <v>107</v>
      </c>
      <c r="B60" s="600" t="s">
        <v>942</v>
      </c>
      <c r="C60" s="574" t="s">
        <v>360</v>
      </c>
      <c r="D60" s="584" t="s">
        <v>1654</v>
      </c>
      <c r="E60" s="576" t="s">
        <v>1032</v>
      </c>
      <c r="F60" s="576" t="s">
        <v>1033</v>
      </c>
      <c r="G60" s="578">
        <v>2585.6972700000001</v>
      </c>
      <c r="H60" s="579">
        <f>G60/5280</f>
        <v>0.48971539204545456</v>
      </c>
      <c r="I60" s="576" t="s">
        <v>343</v>
      </c>
      <c r="J60" s="580" t="s">
        <v>824</v>
      </c>
      <c r="K60" s="580" t="s">
        <v>824</v>
      </c>
      <c r="L60" s="580" t="s">
        <v>824</v>
      </c>
      <c r="M60" s="580"/>
      <c r="N60" s="581" t="s">
        <v>262</v>
      </c>
      <c r="O60" s="581"/>
      <c r="P60" s="583" t="s">
        <v>779</v>
      </c>
      <c r="Q60" s="573" t="str">
        <f t="shared" si="34"/>
        <v>C7</v>
      </c>
      <c r="R60" s="656">
        <v>0</v>
      </c>
      <c r="S60" s="656">
        <v>0</v>
      </c>
      <c r="T60" s="654">
        <v>0</v>
      </c>
      <c r="U60" s="651">
        <v>0</v>
      </c>
      <c r="V60" s="651">
        <v>0</v>
      </c>
      <c r="W60" s="656">
        <v>0</v>
      </c>
      <c r="X60" s="654">
        <v>0</v>
      </c>
      <c r="Y60" s="656">
        <v>0</v>
      </c>
      <c r="Z60" s="656">
        <v>0</v>
      </c>
      <c r="AA60" s="654">
        <v>0</v>
      </c>
      <c r="AB60" s="655">
        <v>5</v>
      </c>
      <c r="AC60" s="656">
        <v>0</v>
      </c>
      <c r="AD60" s="656">
        <v>0</v>
      </c>
      <c r="AE60" s="657">
        <v>10</v>
      </c>
      <c r="AF60" s="655">
        <v>10</v>
      </c>
      <c r="AG60" s="657">
        <v>10</v>
      </c>
      <c r="AH60" s="654">
        <v>0</v>
      </c>
      <c r="AI60" s="656">
        <v>0</v>
      </c>
      <c r="AJ60" s="657">
        <v>4</v>
      </c>
      <c r="AK60" s="657">
        <v>10</v>
      </c>
      <c r="AL60" s="657">
        <v>10</v>
      </c>
      <c r="AM60" s="655">
        <v>10</v>
      </c>
      <c r="AN60" s="664">
        <f t="shared" si="35"/>
        <v>1</v>
      </c>
      <c r="AO60" s="664">
        <f t="shared" si="36"/>
        <v>1</v>
      </c>
      <c r="AP60" s="664">
        <f t="shared" si="37"/>
        <v>1</v>
      </c>
      <c r="AQ60" s="664">
        <f t="shared" si="38"/>
        <v>1</v>
      </c>
      <c r="AR60" s="664">
        <f t="shared" si="39"/>
        <v>1</v>
      </c>
      <c r="AS60" s="664">
        <f t="shared" si="40"/>
        <v>1</v>
      </c>
      <c r="AT60" s="664">
        <f t="shared" si="41"/>
        <v>1</v>
      </c>
      <c r="AU60" s="664">
        <f t="shared" si="42"/>
        <v>1</v>
      </c>
      <c r="AV60" s="664">
        <f t="shared" si="43"/>
        <v>1</v>
      </c>
      <c r="AW60" s="664">
        <f t="shared" si="44"/>
        <v>1</v>
      </c>
      <c r="AX60" s="664">
        <f t="shared" si="45"/>
        <v>5</v>
      </c>
      <c r="AY60" s="664">
        <f t="shared" si="46"/>
        <v>1</v>
      </c>
      <c r="AZ60" s="664">
        <f t="shared" si="47"/>
        <v>1</v>
      </c>
      <c r="BA60" s="664">
        <f t="shared" si="48"/>
        <v>10</v>
      </c>
      <c r="BB60" s="664">
        <f t="shared" si="49"/>
        <v>10</v>
      </c>
      <c r="BC60" s="664">
        <f t="shared" si="50"/>
        <v>10</v>
      </c>
      <c r="BD60" s="664">
        <f t="shared" si="51"/>
        <v>1</v>
      </c>
      <c r="BE60" s="664">
        <f t="shared" si="52"/>
        <v>1</v>
      </c>
      <c r="BF60" s="664">
        <f t="shared" si="53"/>
        <v>3</v>
      </c>
      <c r="BG60" s="664">
        <f t="shared" si="54"/>
        <v>10</v>
      </c>
      <c r="BH60" s="664">
        <f t="shared" si="55"/>
        <v>10</v>
      </c>
      <c r="BI60" s="1009">
        <f t="shared" si="56"/>
        <v>10</v>
      </c>
      <c r="BJ60" s="1020">
        <f t="shared" si="57"/>
        <v>2.1</v>
      </c>
      <c r="BK60" s="931">
        <f t="shared" si="58"/>
        <v>1.6</v>
      </c>
      <c r="BL60" s="931">
        <f t="shared" si="59"/>
        <v>1.5</v>
      </c>
      <c r="BM60" s="931">
        <f t="shared" si="60"/>
        <v>2.5200000000000005</v>
      </c>
      <c r="BN60" s="931">
        <f t="shared" si="61"/>
        <v>14.000000000000002</v>
      </c>
      <c r="BO60" s="931">
        <f t="shared" si="62"/>
        <v>1.666666666666667</v>
      </c>
      <c r="BP60" s="1021">
        <f t="shared" si="63"/>
        <v>10</v>
      </c>
      <c r="BQ60" s="1011">
        <f t="shared" si="64"/>
        <v>33.38666666666667</v>
      </c>
      <c r="BR60" s="668">
        <f t="shared" si="65"/>
        <v>57</v>
      </c>
      <c r="BS60" s="942">
        <v>23</v>
      </c>
      <c r="BT60" s="943" t="s">
        <v>279</v>
      </c>
      <c r="BU60" s="636" t="s">
        <v>1261</v>
      </c>
      <c r="BV60" s="1048" t="str">
        <f>VLOOKUP($B60,Tiers!$A:$K,11,FALSE)</f>
        <v>Tier 4</v>
      </c>
      <c r="BW60" s="622"/>
    </row>
    <row r="61" spans="1:75" ht="13.8" x14ac:dyDescent="0.3">
      <c r="A61" s="640">
        <v>78</v>
      </c>
      <c r="B61" s="600" t="s">
        <v>1471</v>
      </c>
      <c r="C61" s="574"/>
      <c r="D61" s="142" t="s">
        <v>1474</v>
      </c>
      <c r="E61" s="576" t="s">
        <v>1045</v>
      </c>
      <c r="F61" s="576" t="s">
        <v>1009</v>
      </c>
      <c r="G61" s="657">
        <v>3451.022802</v>
      </c>
      <c r="H61" s="579">
        <f>G61/5280</f>
        <v>0.65360280340909094</v>
      </c>
      <c r="I61" s="576" t="s">
        <v>1643</v>
      </c>
      <c r="J61" s="580"/>
      <c r="K61" s="580"/>
      <c r="L61" s="580"/>
      <c r="M61" s="580"/>
      <c r="N61" s="582"/>
      <c r="O61" s="581"/>
      <c r="P61" s="583"/>
      <c r="Q61" s="573" t="str">
        <f t="shared" si="34"/>
        <v>M126</v>
      </c>
      <c r="R61" s="656">
        <v>0</v>
      </c>
      <c r="S61" s="656">
        <v>0</v>
      </c>
      <c r="T61" s="656">
        <v>0</v>
      </c>
      <c r="U61" s="653">
        <v>1.48</v>
      </c>
      <c r="V61" s="906">
        <v>0.78</v>
      </c>
      <c r="W61" s="656">
        <v>0</v>
      </c>
      <c r="X61" s="659">
        <v>10</v>
      </c>
      <c r="Y61" s="656">
        <v>0</v>
      </c>
      <c r="Z61" s="658">
        <v>10</v>
      </c>
      <c r="AA61" s="659">
        <v>5</v>
      </c>
      <c r="AB61" s="659">
        <v>10</v>
      </c>
      <c r="AC61" s="658">
        <v>5</v>
      </c>
      <c r="AD61" s="658">
        <v>5</v>
      </c>
      <c r="AE61" s="656">
        <v>0</v>
      </c>
      <c r="AF61" s="654">
        <v>0</v>
      </c>
      <c r="AG61" s="656">
        <v>0</v>
      </c>
      <c r="AH61" s="654">
        <v>0</v>
      </c>
      <c r="AI61" s="658">
        <v>5</v>
      </c>
      <c r="AJ61" s="658">
        <v>4</v>
      </c>
      <c r="AK61" s="656">
        <v>0</v>
      </c>
      <c r="AL61" s="656">
        <v>0</v>
      </c>
      <c r="AM61" s="659">
        <v>10</v>
      </c>
      <c r="AN61" s="664">
        <f t="shared" si="35"/>
        <v>1</v>
      </c>
      <c r="AO61" s="664">
        <f t="shared" si="36"/>
        <v>1</v>
      </c>
      <c r="AP61" s="664">
        <f t="shared" si="37"/>
        <v>1</v>
      </c>
      <c r="AQ61" s="664">
        <f t="shared" si="38"/>
        <v>3</v>
      </c>
      <c r="AR61" s="664">
        <f t="shared" si="39"/>
        <v>5</v>
      </c>
      <c r="AS61" s="664">
        <f t="shared" si="40"/>
        <v>1</v>
      </c>
      <c r="AT61" s="664">
        <f t="shared" si="41"/>
        <v>10</v>
      </c>
      <c r="AU61" s="664">
        <f t="shared" si="42"/>
        <v>1</v>
      </c>
      <c r="AV61" s="664">
        <f t="shared" si="43"/>
        <v>10</v>
      </c>
      <c r="AW61" s="664">
        <f t="shared" si="44"/>
        <v>5</v>
      </c>
      <c r="AX61" s="664">
        <f t="shared" si="45"/>
        <v>10</v>
      </c>
      <c r="AY61" s="664">
        <f t="shared" si="46"/>
        <v>5</v>
      </c>
      <c r="AZ61" s="664">
        <f t="shared" si="47"/>
        <v>5</v>
      </c>
      <c r="BA61" s="664">
        <f t="shared" si="48"/>
        <v>1</v>
      </c>
      <c r="BB61" s="664">
        <f t="shared" si="49"/>
        <v>1</v>
      </c>
      <c r="BC61" s="664">
        <f t="shared" si="50"/>
        <v>1</v>
      </c>
      <c r="BD61" s="664">
        <f t="shared" si="51"/>
        <v>1</v>
      </c>
      <c r="BE61" s="664">
        <f t="shared" si="52"/>
        <v>5</v>
      </c>
      <c r="BF61" s="664">
        <f t="shared" si="53"/>
        <v>3</v>
      </c>
      <c r="BG61" s="664">
        <f t="shared" si="54"/>
        <v>1</v>
      </c>
      <c r="BH61" s="664">
        <f t="shared" si="55"/>
        <v>1</v>
      </c>
      <c r="BI61" s="1009">
        <f t="shared" si="56"/>
        <v>10</v>
      </c>
      <c r="BJ61" s="1020">
        <f t="shared" si="57"/>
        <v>2.1</v>
      </c>
      <c r="BK61" s="931">
        <f t="shared" si="58"/>
        <v>4.8</v>
      </c>
      <c r="BL61" s="931">
        <f t="shared" si="59"/>
        <v>8.25</v>
      </c>
      <c r="BM61" s="931">
        <f t="shared" si="60"/>
        <v>9.8000000000000007</v>
      </c>
      <c r="BN61" s="931">
        <f t="shared" si="61"/>
        <v>1.4000000000000001</v>
      </c>
      <c r="BO61" s="931">
        <f t="shared" si="62"/>
        <v>3.0000000000000004</v>
      </c>
      <c r="BP61" s="1021">
        <f t="shared" si="63"/>
        <v>4</v>
      </c>
      <c r="BQ61" s="1011">
        <f t="shared" si="64"/>
        <v>33.35</v>
      </c>
      <c r="BR61" s="668">
        <f t="shared" si="65"/>
        <v>58</v>
      </c>
      <c r="BS61" s="942"/>
      <c r="BT61" s="941"/>
      <c r="BU61" s="636" t="s">
        <v>1261</v>
      </c>
      <c r="BV61" s="1048" t="str">
        <f>VLOOKUP($B61,Tiers!$A:$K,11,FALSE)</f>
        <v>Tier 3</v>
      </c>
      <c r="BW61" s="590" t="s">
        <v>1475</v>
      </c>
    </row>
    <row r="62" spans="1:75" x14ac:dyDescent="0.25">
      <c r="A62" s="640">
        <v>14</v>
      </c>
      <c r="B62" s="574" t="s">
        <v>1118</v>
      </c>
      <c r="C62" s="574" t="s">
        <v>197</v>
      </c>
      <c r="D62" s="577" t="s">
        <v>767</v>
      </c>
      <c r="E62" s="576" t="s">
        <v>485</v>
      </c>
      <c r="F62" s="576" t="s">
        <v>1352</v>
      </c>
      <c r="G62" s="577">
        <v>1</v>
      </c>
      <c r="H62" s="577">
        <v>1</v>
      </c>
      <c r="I62" s="577" t="s">
        <v>1049</v>
      </c>
      <c r="J62" s="276" t="s">
        <v>824</v>
      </c>
      <c r="K62" s="276" t="s">
        <v>824</v>
      </c>
      <c r="L62" s="276" t="s">
        <v>824</v>
      </c>
      <c r="M62" s="276" t="s">
        <v>824</v>
      </c>
      <c r="N62" s="580"/>
      <c r="O62" s="580"/>
      <c r="P62" s="580" t="s">
        <v>670</v>
      </c>
      <c r="Q62" s="573" t="str">
        <f t="shared" si="34"/>
        <v>M16</v>
      </c>
      <c r="R62" s="656">
        <v>0</v>
      </c>
      <c r="S62" s="657">
        <v>4725</v>
      </c>
      <c r="T62" s="656">
        <v>0</v>
      </c>
      <c r="U62" s="651">
        <v>0</v>
      </c>
      <c r="V62" s="652">
        <v>1.44</v>
      </c>
      <c r="W62" s="658">
        <v>10</v>
      </c>
      <c r="X62" s="654">
        <v>0</v>
      </c>
      <c r="Y62" s="656">
        <v>0</v>
      </c>
      <c r="Z62" s="657">
        <v>10</v>
      </c>
      <c r="AA62" s="654">
        <v>0</v>
      </c>
      <c r="AB62" s="654">
        <v>0</v>
      </c>
      <c r="AC62" s="657">
        <v>5</v>
      </c>
      <c r="AD62" s="656">
        <v>0</v>
      </c>
      <c r="AE62" s="656">
        <v>0</v>
      </c>
      <c r="AF62" s="656">
        <v>0</v>
      </c>
      <c r="AG62" s="656">
        <v>0</v>
      </c>
      <c r="AH62" s="654">
        <v>0</v>
      </c>
      <c r="AI62" s="656">
        <v>0</v>
      </c>
      <c r="AJ62" s="657">
        <v>4</v>
      </c>
      <c r="AK62" s="657">
        <v>10</v>
      </c>
      <c r="AL62" s="657">
        <v>10</v>
      </c>
      <c r="AM62" s="654">
        <v>0</v>
      </c>
      <c r="AN62" s="664">
        <f t="shared" si="35"/>
        <v>1</v>
      </c>
      <c r="AO62" s="664">
        <f t="shared" si="36"/>
        <v>6</v>
      </c>
      <c r="AP62" s="664">
        <f t="shared" si="37"/>
        <v>1</v>
      </c>
      <c r="AQ62" s="664">
        <f t="shared" si="38"/>
        <v>1</v>
      </c>
      <c r="AR62" s="664">
        <f t="shared" si="39"/>
        <v>9</v>
      </c>
      <c r="AS62" s="664">
        <f t="shared" si="40"/>
        <v>10</v>
      </c>
      <c r="AT62" s="664">
        <f t="shared" si="41"/>
        <v>1</v>
      </c>
      <c r="AU62" s="664">
        <f t="shared" si="42"/>
        <v>1</v>
      </c>
      <c r="AV62" s="664">
        <f t="shared" si="43"/>
        <v>10</v>
      </c>
      <c r="AW62" s="664">
        <f t="shared" si="44"/>
        <v>1</v>
      </c>
      <c r="AX62" s="664">
        <f t="shared" si="45"/>
        <v>1</v>
      </c>
      <c r="AY62" s="664">
        <f t="shared" si="46"/>
        <v>5</v>
      </c>
      <c r="AZ62" s="664">
        <f t="shared" si="47"/>
        <v>1</v>
      </c>
      <c r="BA62" s="664">
        <f t="shared" si="48"/>
        <v>1</v>
      </c>
      <c r="BB62" s="664">
        <f t="shared" si="49"/>
        <v>1</v>
      </c>
      <c r="BC62" s="664">
        <f t="shared" si="50"/>
        <v>1</v>
      </c>
      <c r="BD62" s="664">
        <f t="shared" si="51"/>
        <v>1</v>
      </c>
      <c r="BE62" s="664">
        <f t="shared" si="52"/>
        <v>1</v>
      </c>
      <c r="BF62" s="664">
        <f t="shared" si="53"/>
        <v>3</v>
      </c>
      <c r="BG62" s="664">
        <f t="shared" si="54"/>
        <v>10</v>
      </c>
      <c r="BH62" s="664">
        <f t="shared" si="55"/>
        <v>10</v>
      </c>
      <c r="BI62" s="1009">
        <f t="shared" si="56"/>
        <v>1</v>
      </c>
      <c r="BJ62" s="1020">
        <f t="shared" si="57"/>
        <v>5.6</v>
      </c>
      <c r="BK62" s="931">
        <f t="shared" si="58"/>
        <v>10.666666666666666</v>
      </c>
      <c r="BL62" s="931">
        <f t="shared" si="59"/>
        <v>1.5</v>
      </c>
      <c r="BM62" s="931">
        <f t="shared" si="60"/>
        <v>5.0400000000000009</v>
      </c>
      <c r="BN62" s="931">
        <f t="shared" si="61"/>
        <v>1.4000000000000001</v>
      </c>
      <c r="BO62" s="931">
        <f t="shared" si="62"/>
        <v>1.666666666666667</v>
      </c>
      <c r="BP62" s="1021">
        <f t="shared" si="63"/>
        <v>7.0000000000000009</v>
      </c>
      <c r="BQ62" s="1011">
        <f t="shared" si="64"/>
        <v>32.873333333333335</v>
      </c>
      <c r="BR62" s="668">
        <f t="shared" si="65"/>
        <v>59</v>
      </c>
      <c r="BS62" s="944" t="s">
        <v>376</v>
      </c>
      <c r="BT62" s="941" t="s">
        <v>376</v>
      </c>
      <c r="BU62" s="638" t="s">
        <v>1262</v>
      </c>
      <c r="BV62" s="1048" t="str">
        <f>VLOOKUP($B62,Tiers!$A:$K,11,FALSE)</f>
        <v>Tier 4</v>
      </c>
      <c r="BW62" s="670"/>
    </row>
    <row r="63" spans="1:75" x14ac:dyDescent="0.25">
      <c r="A63" s="641">
        <v>3</v>
      </c>
      <c r="B63" s="574" t="s">
        <v>1105</v>
      </c>
      <c r="C63" s="574" t="s">
        <v>197</v>
      </c>
      <c r="D63" s="577" t="s">
        <v>755</v>
      </c>
      <c r="E63" s="576" t="s">
        <v>643</v>
      </c>
      <c r="F63" s="576" t="s">
        <v>794</v>
      </c>
      <c r="G63" s="577">
        <v>1</v>
      </c>
      <c r="H63" s="577">
        <v>1</v>
      </c>
      <c r="I63" s="577" t="s">
        <v>1049</v>
      </c>
      <c r="J63" s="276" t="s">
        <v>824</v>
      </c>
      <c r="K63" s="276" t="s">
        <v>824</v>
      </c>
      <c r="L63" s="276" t="s">
        <v>824</v>
      </c>
      <c r="M63" s="276" t="s">
        <v>824</v>
      </c>
      <c r="N63" s="580"/>
      <c r="O63" s="580"/>
      <c r="P63" s="580" t="s">
        <v>670</v>
      </c>
      <c r="Q63" s="573" t="str">
        <f t="shared" si="34"/>
        <v>M3</v>
      </c>
      <c r="R63" s="656">
        <v>0</v>
      </c>
      <c r="S63" s="657">
        <v>760</v>
      </c>
      <c r="T63" s="656">
        <v>0</v>
      </c>
      <c r="U63" s="652">
        <v>1.96</v>
      </c>
      <c r="V63" s="652">
        <v>1.1200000000000001</v>
      </c>
      <c r="W63" s="656">
        <v>0</v>
      </c>
      <c r="X63" s="654">
        <v>0</v>
      </c>
      <c r="Y63" s="657">
        <v>10</v>
      </c>
      <c r="Z63" s="657">
        <v>10</v>
      </c>
      <c r="AA63" s="654">
        <v>0</v>
      </c>
      <c r="AB63" s="654">
        <v>0</v>
      </c>
      <c r="AC63" s="657">
        <v>5</v>
      </c>
      <c r="AD63" s="656">
        <v>0</v>
      </c>
      <c r="AE63" s="656">
        <v>0</v>
      </c>
      <c r="AF63" s="656">
        <v>0</v>
      </c>
      <c r="AG63" s="656">
        <v>0</v>
      </c>
      <c r="AH63" s="654">
        <v>0</v>
      </c>
      <c r="AI63" s="656">
        <v>0</v>
      </c>
      <c r="AJ63" s="657">
        <v>3</v>
      </c>
      <c r="AK63" s="657">
        <v>10</v>
      </c>
      <c r="AL63" s="657">
        <v>10</v>
      </c>
      <c r="AM63" s="656">
        <v>0</v>
      </c>
      <c r="AN63" s="664">
        <f t="shared" si="35"/>
        <v>1</v>
      </c>
      <c r="AO63" s="664">
        <f t="shared" si="36"/>
        <v>1</v>
      </c>
      <c r="AP63" s="664">
        <f t="shared" si="37"/>
        <v>1</v>
      </c>
      <c r="AQ63" s="664">
        <f t="shared" si="38"/>
        <v>4</v>
      </c>
      <c r="AR63" s="664">
        <f t="shared" si="39"/>
        <v>7</v>
      </c>
      <c r="AS63" s="664">
        <f t="shared" si="40"/>
        <v>1</v>
      </c>
      <c r="AT63" s="664">
        <f t="shared" si="41"/>
        <v>1</v>
      </c>
      <c r="AU63" s="664">
        <f t="shared" si="42"/>
        <v>10</v>
      </c>
      <c r="AV63" s="664">
        <f t="shared" si="43"/>
        <v>10</v>
      </c>
      <c r="AW63" s="664">
        <f t="shared" si="44"/>
        <v>1</v>
      </c>
      <c r="AX63" s="664">
        <f t="shared" si="45"/>
        <v>1</v>
      </c>
      <c r="AY63" s="664">
        <f t="shared" si="46"/>
        <v>5</v>
      </c>
      <c r="AZ63" s="664">
        <f t="shared" si="47"/>
        <v>1</v>
      </c>
      <c r="BA63" s="664">
        <f t="shared" si="48"/>
        <v>1</v>
      </c>
      <c r="BB63" s="664">
        <f t="shared" si="49"/>
        <v>1</v>
      </c>
      <c r="BC63" s="664">
        <f t="shared" si="50"/>
        <v>1</v>
      </c>
      <c r="BD63" s="664">
        <f t="shared" si="51"/>
        <v>1</v>
      </c>
      <c r="BE63" s="664">
        <f t="shared" si="52"/>
        <v>1</v>
      </c>
      <c r="BF63" s="664">
        <f t="shared" si="53"/>
        <v>1</v>
      </c>
      <c r="BG63" s="664">
        <f t="shared" si="54"/>
        <v>10</v>
      </c>
      <c r="BH63" s="664">
        <f t="shared" si="55"/>
        <v>10</v>
      </c>
      <c r="BI63" s="1009">
        <f t="shared" si="56"/>
        <v>1</v>
      </c>
      <c r="BJ63" s="1020">
        <f t="shared" si="57"/>
        <v>2.1</v>
      </c>
      <c r="BK63" s="931">
        <f t="shared" si="58"/>
        <v>6.4</v>
      </c>
      <c r="BL63" s="931">
        <f t="shared" si="59"/>
        <v>8.25</v>
      </c>
      <c r="BM63" s="931">
        <f t="shared" si="60"/>
        <v>5.0400000000000009</v>
      </c>
      <c r="BN63" s="931">
        <f t="shared" si="61"/>
        <v>1.4000000000000001</v>
      </c>
      <c r="BO63" s="931">
        <f t="shared" si="62"/>
        <v>1</v>
      </c>
      <c r="BP63" s="1021">
        <f t="shared" si="63"/>
        <v>7.0000000000000009</v>
      </c>
      <c r="BQ63" s="1011">
        <f t="shared" si="64"/>
        <v>31.189999999999998</v>
      </c>
      <c r="BR63" s="668">
        <f t="shared" si="65"/>
        <v>60</v>
      </c>
      <c r="BS63" s="944" t="s">
        <v>376</v>
      </c>
      <c r="BT63" s="941" t="s">
        <v>376</v>
      </c>
      <c r="BU63" s="638" t="s">
        <v>1262</v>
      </c>
      <c r="BV63" s="1048" t="str">
        <f>VLOOKUP($B63,Tiers!$A:$K,11,FALSE)</f>
        <v>Tier 4</v>
      </c>
      <c r="BW63" s="670"/>
    </row>
    <row r="64" spans="1:75" x14ac:dyDescent="0.25">
      <c r="A64" s="640">
        <v>58</v>
      </c>
      <c r="B64" s="600" t="s">
        <v>931</v>
      </c>
      <c r="C64" s="574" t="s">
        <v>37</v>
      </c>
      <c r="D64" s="576" t="s">
        <v>1086</v>
      </c>
      <c r="E64" s="576" t="s">
        <v>820</v>
      </c>
      <c r="F64" s="576" t="s">
        <v>1085</v>
      </c>
      <c r="G64" s="578">
        <v>27573.870703000001</v>
      </c>
      <c r="H64" s="579">
        <f>G64/5280</f>
        <v>5.222323996780303</v>
      </c>
      <c r="I64" s="576" t="s">
        <v>1481</v>
      </c>
      <c r="J64" s="580" t="s">
        <v>824</v>
      </c>
      <c r="K64" s="580" t="s">
        <v>824</v>
      </c>
      <c r="L64" s="580" t="s">
        <v>824</v>
      </c>
      <c r="M64" s="580"/>
      <c r="N64" s="581">
        <v>2</v>
      </c>
      <c r="O64" s="581">
        <v>2</v>
      </c>
      <c r="P64" s="583" t="s">
        <v>670</v>
      </c>
      <c r="Q64" s="573" t="str">
        <f t="shared" si="34"/>
        <v>M103</v>
      </c>
      <c r="R64" s="656">
        <v>0</v>
      </c>
      <c r="S64" s="657">
        <v>4725</v>
      </c>
      <c r="T64" s="657">
        <v>10</v>
      </c>
      <c r="U64" s="651">
        <v>0</v>
      </c>
      <c r="V64" s="652">
        <v>0.83</v>
      </c>
      <c r="W64" s="656">
        <v>0</v>
      </c>
      <c r="X64" s="656">
        <v>0</v>
      </c>
      <c r="Y64" s="656">
        <v>0</v>
      </c>
      <c r="Z64" s="656">
        <v>0</v>
      </c>
      <c r="AA64" s="654">
        <v>0</v>
      </c>
      <c r="AB64" s="655">
        <v>5</v>
      </c>
      <c r="AC64" s="657">
        <v>5</v>
      </c>
      <c r="AD64" s="657">
        <v>5</v>
      </c>
      <c r="AE64" s="656">
        <v>0</v>
      </c>
      <c r="AF64" s="656">
        <v>0</v>
      </c>
      <c r="AG64" s="657">
        <v>10</v>
      </c>
      <c r="AH64" s="654">
        <v>0</v>
      </c>
      <c r="AI64" s="656">
        <v>0</v>
      </c>
      <c r="AJ64" s="657">
        <v>5</v>
      </c>
      <c r="AK64" s="656">
        <v>0</v>
      </c>
      <c r="AL64" s="656">
        <v>0</v>
      </c>
      <c r="AM64" s="654">
        <v>0</v>
      </c>
      <c r="AN64" s="664">
        <f t="shared" si="35"/>
        <v>1</v>
      </c>
      <c r="AO64" s="664">
        <f t="shared" si="36"/>
        <v>6</v>
      </c>
      <c r="AP64" s="664">
        <f t="shared" si="37"/>
        <v>10</v>
      </c>
      <c r="AQ64" s="664">
        <f t="shared" si="38"/>
        <v>1</v>
      </c>
      <c r="AR64" s="664">
        <f t="shared" si="39"/>
        <v>5</v>
      </c>
      <c r="AS64" s="664">
        <f t="shared" si="40"/>
        <v>1</v>
      </c>
      <c r="AT64" s="664">
        <f t="shared" si="41"/>
        <v>1</v>
      </c>
      <c r="AU64" s="664">
        <f t="shared" si="42"/>
        <v>1</v>
      </c>
      <c r="AV64" s="664">
        <f t="shared" si="43"/>
        <v>1</v>
      </c>
      <c r="AW64" s="664">
        <f t="shared" si="44"/>
        <v>1</v>
      </c>
      <c r="AX64" s="664">
        <f t="shared" si="45"/>
        <v>5</v>
      </c>
      <c r="AY64" s="664">
        <f t="shared" si="46"/>
        <v>5</v>
      </c>
      <c r="AZ64" s="664">
        <f t="shared" si="47"/>
        <v>5</v>
      </c>
      <c r="BA64" s="664">
        <f t="shared" si="48"/>
        <v>1</v>
      </c>
      <c r="BB64" s="664">
        <f t="shared" si="49"/>
        <v>1</v>
      </c>
      <c r="BC64" s="664">
        <f t="shared" si="50"/>
        <v>10</v>
      </c>
      <c r="BD64" s="664">
        <f t="shared" si="51"/>
        <v>1</v>
      </c>
      <c r="BE64" s="664">
        <f t="shared" si="52"/>
        <v>1</v>
      </c>
      <c r="BF64" s="664">
        <f t="shared" si="53"/>
        <v>5</v>
      </c>
      <c r="BG64" s="664">
        <f t="shared" si="54"/>
        <v>1</v>
      </c>
      <c r="BH64" s="664">
        <f t="shared" si="55"/>
        <v>1</v>
      </c>
      <c r="BI64" s="1009">
        <f t="shared" si="56"/>
        <v>1</v>
      </c>
      <c r="BJ64" s="1020">
        <f t="shared" si="57"/>
        <v>11.899999999999999</v>
      </c>
      <c r="BK64" s="931">
        <f t="shared" si="58"/>
        <v>3.7333333333333334</v>
      </c>
      <c r="BL64" s="931">
        <f t="shared" si="59"/>
        <v>1.5</v>
      </c>
      <c r="BM64" s="931">
        <f t="shared" si="60"/>
        <v>4.7600000000000007</v>
      </c>
      <c r="BN64" s="931">
        <f t="shared" si="61"/>
        <v>5.6000000000000005</v>
      </c>
      <c r="BO64" s="931">
        <f t="shared" si="62"/>
        <v>2.3333333333333335</v>
      </c>
      <c r="BP64" s="1021">
        <f t="shared" si="63"/>
        <v>1</v>
      </c>
      <c r="BQ64" s="1011">
        <f t="shared" si="64"/>
        <v>30.826666666666668</v>
      </c>
      <c r="BR64" s="668">
        <f t="shared" si="65"/>
        <v>61</v>
      </c>
      <c r="BS64" s="942" t="s">
        <v>376</v>
      </c>
      <c r="BT64" s="941" t="s">
        <v>376</v>
      </c>
      <c r="BU64" s="638" t="s">
        <v>1262</v>
      </c>
      <c r="BV64" s="1048" t="str">
        <f>VLOOKUP($B64,Tiers!$A:$K,11,FALSE)</f>
        <v>Tier 4</v>
      </c>
      <c r="BW64" s="670"/>
    </row>
    <row r="65" spans="1:75" x14ac:dyDescent="0.25">
      <c r="A65" s="641">
        <v>50</v>
      </c>
      <c r="B65" s="600" t="s">
        <v>993</v>
      </c>
      <c r="C65" s="574" t="s">
        <v>37</v>
      </c>
      <c r="D65" s="576" t="s">
        <v>1665</v>
      </c>
      <c r="E65" s="576" t="s">
        <v>994</v>
      </c>
      <c r="F65" s="576" t="s">
        <v>737</v>
      </c>
      <c r="G65" s="578">
        <v>7348.6058439999997</v>
      </c>
      <c r="H65" s="579">
        <f>G65/5280</f>
        <v>1.3917814098484849</v>
      </c>
      <c r="I65" s="576" t="s">
        <v>1487</v>
      </c>
      <c r="J65" s="580" t="s">
        <v>824</v>
      </c>
      <c r="K65" s="580"/>
      <c r="L65" s="580"/>
      <c r="M65" s="580"/>
      <c r="N65" s="581">
        <v>2</v>
      </c>
      <c r="O65" s="581">
        <v>3</v>
      </c>
      <c r="P65" s="583" t="s">
        <v>779</v>
      </c>
      <c r="Q65" s="573" t="str">
        <f t="shared" si="34"/>
        <v>M69b</v>
      </c>
      <c r="R65" s="656">
        <v>0</v>
      </c>
      <c r="S65" s="657">
        <v>4725</v>
      </c>
      <c r="T65" s="657">
        <v>10</v>
      </c>
      <c r="U65" s="651">
        <v>0</v>
      </c>
      <c r="V65" s="652">
        <v>1.44</v>
      </c>
      <c r="W65" s="658">
        <v>10</v>
      </c>
      <c r="X65" s="656">
        <v>0</v>
      </c>
      <c r="Y65" s="656">
        <v>0</v>
      </c>
      <c r="Z65" s="656">
        <v>0</v>
      </c>
      <c r="AA65" s="654">
        <v>0</v>
      </c>
      <c r="AB65" s="654">
        <v>0</v>
      </c>
      <c r="AC65" s="657">
        <v>5</v>
      </c>
      <c r="AD65" s="656">
        <v>0</v>
      </c>
      <c r="AE65" s="656">
        <v>0</v>
      </c>
      <c r="AF65" s="656">
        <v>0</v>
      </c>
      <c r="AG65" s="656">
        <v>0</v>
      </c>
      <c r="AH65" s="654">
        <v>0</v>
      </c>
      <c r="AI65" s="656">
        <v>0</v>
      </c>
      <c r="AJ65" s="657">
        <v>4</v>
      </c>
      <c r="AK65" s="656">
        <v>0</v>
      </c>
      <c r="AL65" s="656">
        <v>0</v>
      </c>
      <c r="AM65" s="654">
        <v>0</v>
      </c>
      <c r="AN65" s="664">
        <f t="shared" si="35"/>
        <v>1</v>
      </c>
      <c r="AO65" s="664">
        <f t="shared" si="36"/>
        <v>6</v>
      </c>
      <c r="AP65" s="664">
        <f t="shared" si="37"/>
        <v>10</v>
      </c>
      <c r="AQ65" s="664">
        <f t="shared" si="38"/>
        <v>1</v>
      </c>
      <c r="AR65" s="664">
        <f t="shared" si="39"/>
        <v>9</v>
      </c>
      <c r="AS65" s="664">
        <f t="shared" si="40"/>
        <v>10</v>
      </c>
      <c r="AT65" s="664">
        <f t="shared" si="41"/>
        <v>1</v>
      </c>
      <c r="AU65" s="664">
        <f t="shared" si="42"/>
        <v>1</v>
      </c>
      <c r="AV65" s="664">
        <f t="shared" si="43"/>
        <v>1</v>
      </c>
      <c r="AW65" s="664">
        <f t="shared" si="44"/>
        <v>1</v>
      </c>
      <c r="AX65" s="664">
        <f t="shared" si="45"/>
        <v>1</v>
      </c>
      <c r="AY65" s="664">
        <f t="shared" si="46"/>
        <v>5</v>
      </c>
      <c r="AZ65" s="664">
        <f t="shared" si="47"/>
        <v>1</v>
      </c>
      <c r="BA65" s="664">
        <f t="shared" si="48"/>
        <v>1</v>
      </c>
      <c r="BB65" s="664">
        <f t="shared" si="49"/>
        <v>1</v>
      </c>
      <c r="BC65" s="664">
        <f t="shared" si="50"/>
        <v>1</v>
      </c>
      <c r="BD65" s="664">
        <f t="shared" si="51"/>
        <v>1</v>
      </c>
      <c r="BE65" s="664">
        <f t="shared" si="52"/>
        <v>1</v>
      </c>
      <c r="BF65" s="664">
        <f t="shared" si="53"/>
        <v>3</v>
      </c>
      <c r="BG65" s="664">
        <f t="shared" si="54"/>
        <v>1</v>
      </c>
      <c r="BH65" s="664">
        <f t="shared" si="55"/>
        <v>1</v>
      </c>
      <c r="BI65" s="1009">
        <f t="shared" si="56"/>
        <v>1</v>
      </c>
      <c r="BJ65" s="1020">
        <f t="shared" si="57"/>
        <v>11.899999999999999</v>
      </c>
      <c r="BK65" s="931">
        <f t="shared" si="58"/>
        <v>10.666666666666666</v>
      </c>
      <c r="BL65" s="931">
        <f t="shared" si="59"/>
        <v>1.5</v>
      </c>
      <c r="BM65" s="931">
        <f t="shared" si="60"/>
        <v>2.5200000000000005</v>
      </c>
      <c r="BN65" s="931">
        <f t="shared" si="61"/>
        <v>1.4000000000000001</v>
      </c>
      <c r="BO65" s="931">
        <f t="shared" si="62"/>
        <v>1.666666666666667</v>
      </c>
      <c r="BP65" s="1021">
        <f t="shared" si="63"/>
        <v>1</v>
      </c>
      <c r="BQ65" s="1011">
        <f t="shared" si="64"/>
        <v>30.653333333333329</v>
      </c>
      <c r="BR65" s="668">
        <f t="shared" si="65"/>
        <v>62</v>
      </c>
      <c r="BS65" s="942" t="s">
        <v>376</v>
      </c>
      <c r="BT65" s="941" t="s">
        <v>376</v>
      </c>
      <c r="BU65" s="638" t="s">
        <v>1262</v>
      </c>
      <c r="BV65" s="1048" t="str">
        <f>VLOOKUP($B65,Tiers!$A:$K,11,FALSE)</f>
        <v>Tier 4</v>
      </c>
      <c r="BW65" s="670"/>
    </row>
    <row r="66" spans="1:75" x14ac:dyDescent="0.25">
      <c r="A66" s="641">
        <v>65</v>
      </c>
      <c r="B66" s="600" t="s">
        <v>1439</v>
      </c>
      <c r="C66" s="574" t="s">
        <v>37</v>
      </c>
      <c r="D66" s="576" t="s">
        <v>1442</v>
      </c>
      <c r="E66" s="576" t="s">
        <v>1480</v>
      </c>
      <c r="F66" s="576" t="s">
        <v>614</v>
      </c>
      <c r="G66" s="593">
        <v>4552.4105939999999</v>
      </c>
      <c r="H66" s="579">
        <f>G66/5280</f>
        <v>0.86219897613636365</v>
      </c>
      <c r="I66" s="576" t="s">
        <v>672</v>
      </c>
      <c r="J66" s="580"/>
      <c r="K66" s="580"/>
      <c r="L66" s="580"/>
      <c r="M66" s="580"/>
      <c r="N66" s="581"/>
      <c r="O66" s="581"/>
      <c r="P66" s="583"/>
      <c r="Q66" s="573" t="str">
        <f t="shared" si="34"/>
        <v>M110</v>
      </c>
      <c r="R66" s="656">
        <v>0</v>
      </c>
      <c r="S66" s="657">
        <v>1660</v>
      </c>
      <c r="T66" s="656">
        <v>0</v>
      </c>
      <c r="U66" s="651">
        <v>0</v>
      </c>
      <c r="V66" s="651">
        <v>0</v>
      </c>
      <c r="W66" s="656">
        <v>0</v>
      </c>
      <c r="X66" s="656">
        <v>0</v>
      </c>
      <c r="Y66" s="656">
        <v>0</v>
      </c>
      <c r="Z66" s="656">
        <v>0</v>
      </c>
      <c r="AA66" s="655">
        <v>10</v>
      </c>
      <c r="AB66" s="655">
        <v>5</v>
      </c>
      <c r="AC66" s="657">
        <v>5</v>
      </c>
      <c r="AD66" s="657">
        <v>5</v>
      </c>
      <c r="AE66" s="657">
        <v>10</v>
      </c>
      <c r="AF66" s="656">
        <v>0</v>
      </c>
      <c r="AG66" s="656">
        <v>0</v>
      </c>
      <c r="AH66" s="654">
        <v>0</v>
      </c>
      <c r="AI66" s="656">
        <v>0</v>
      </c>
      <c r="AJ66" s="657">
        <v>4</v>
      </c>
      <c r="AK66" s="657">
        <v>10</v>
      </c>
      <c r="AL66" s="657">
        <v>10</v>
      </c>
      <c r="AM66" s="655">
        <v>10</v>
      </c>
      <c r="AN66" s="664">
        <f t="shared" si="35"/>
        <v>1</v>
      </c>
      <c r="AO66" s="664">
        <f t="shared" si="36"/>
        <v>2</v>
      </c>
      <c r="AP66" s="664">
        <f t="shared" si="37"/>
        <v>1</v>
      </c>
      <c r="AQ66" s="664">
        <f t="shared" si="38"/>
        <v>1</v>
      </c>
      <c r="AR66" s="664">
        <f t="shared" si="39"/>
        <v>1</v>
      </c>
      <c r="AS66" s="664">
        <f t="shared" si="40"/>
        <v>1</v>
      </c>
      <c r="AT66" s="664">
        <f t="shared" si="41"/>
        <v>1</v>
      </c>
      <c r="AU66" s="664">
        <f t="shared" si="42"/>
        <v>1</v>
      </c>
      <c r="AV66" s="664">
        <f t="shared" si="43"/>
        <v>1</v>
      </c>
      <c r="AW66" s="664">
        <f t="shared" si="44"/>
        <v>10</v>
      </c>
      <c r="AX66" s="664">
        <f t="shared" si="45"/>
        <v>5</v>
      </c>
      <c r="AY66" s="664">
        <f t="shared" si="46"/>
        <v>5</v>
      </c>
      <c r="AZ66" s="664">
        <f t="shared" si="47"/>
        <v>5</v>
      </c>
      <c r="BA66" s="664">
        <f t="shared" si="48"/>
        <v>10</v>
      </c>
      <c r="BB66" s="664">
        <f t="shared" si="49"/>
        <v>1</v>
      </c>
      <c r="BC66" s="664">
        <f t="shared" si="50"/>
        <v>1</v>
      </c>
      <c r="BD66" s="664">
        <f t="shared" si="51"/>
        <v>1</v>
      </c>
      <c r="BE66" s="664">
        <f t="shared" si="52"/>
        <v>1</v>
      </c>
      <c r="BF66" s="664">
        <f t="shared" si="53"/>
        <v>3</v>
      </c>
      <c r="BG66" s="664">
        <f t="shared" si="54"/>
        <v>10</v>
      </c>
      <c r="BH66" s="664">
        <f t="shared" si="55"/>
        <v>10</v>
      </c>
      <c r="BI66" s="1009">
        <f t="shared" si="56"/>
        <v>10</v>
      </c>
      <c r="BJ66" s="1020">
        <f t="shared" si="57"/>
        <v>2.8</v>
      </c>
      <c r="BK66" s="931">
        <f t="shared" si="58"/>
        <v>1.6</v>
      </c>
      <c r="BL66" s="931">
        <f t="shared" si="59"/>
        <v>1.5</v>
      </c>
      <c r="BM66" s="931">
        <f t="shared" si="60"/>
        <v>7.2800000000000011</v>
      </c>
      <c r="BN66" s="931">
        <f t="shared" si="61"/>
        <v>5.6000000000000005</v>
      </c>
      <c r="BO66" s="931">
        <f t="shared" si="62"/>
        <v>1.666666666666667</v>
      </c>
      <c r="BP66" s="1021">
        <f t="shared" si="63"/>
        <v>10</v>
      </c>
      <c r="BQ66" s="1011">
        <f t="shared" si="64"/>
        <v>30.446666666666669</v>
      </c>
      <c r="BR66" s="668">
        <f t="shared" si="65"/>
        <v>63</v>
      </c>
      <c r="BS66" s="942"/>
      <c r="BT66" s="941"/>
      <c r="BU66" s="638" t="s">
        <v>1262</v>
      </c>
      <c r="BV66" s="1046" t="str">
        <f>VLOOKUP($B66,Tiers!$A:$K,11,FALSE)</f>
        <v>Tier 2</v>
      </c>
      <c r="BW66" s="590" t="s">
        <v>1443</v>
      </c>
    </row>
    <row r="67" spans="1:75" x14ac:dyDescent="0.25">
      <c r="A67" s="640">
        <v>75</v>
      </c>
      <c r="B67" s="600" t="s">
        <v>1379</v>
      </c>
      <c r="C67" s="574" t="s">
        <v>37</v>
      </c>
      <c r="D67" s="576" t="s">
        <v>1380</v>
      </c>
      <c r="E67" s="576" t="s">
        <v>618</v>
      </c>
      <c r="F67" s="576" t="s">
        <v>1381</v>
      </c>
      <c r="G67" s="578">
        <v>1437.402094</v>
      </c>
      <c r="H67" s="579">
        <f>G67/5280</f>
        <v>0.27223524507575758</v>
      </c>
      <c r="I67" s="576" t="s">
        <v>1643</v>
      </c>
      <c r="J67" s="580"/>
      <c r="K67" s="580" t="s">
        <v>824</v>
      </c>
      <c r="L67" s="580" t="s">
        <v>824</v>
      </c>
      <c r="M67" s="580"/>
      <c r="N67" s="582" t="s">
        <v>262</v>
      </c>
      <c r="O67" s="581" t="s">
        <v>262</v>
      </c>
      <c r="P67" s="583" t="s">
        <v>670</v>
      </c>
      <c r="Q67" s="573" t="str">
        <f t="shared" si="34"/>
        <v>M123</v>
      </c>
      <c r="R67" s="656">
        <v>0</v>
      </c>
      <c r="S67" s="656">
        <v>0</v>
      </c>
      <c r="T67" s="656">
        <v>0</v>
      </c>
      <c r="U67" s="656">
        <v>0</v>
      </c>
      <c r="V67" s="906">
        <v>0.37</v>
      </c>
      <c r="W67" s="656">
        <v>0</v>
      </c>
      <c r="X67" s="656">
        <v>0</v>
      </c>
      <c r="Y67" s="656">
        <v>0</v>
      </c>
      <c r="Z67" s="658">
        <v>10</v>
      </c>
      <c r="AA67" s="654">
        <v>0</v>
      </c>
      <c r="AB67" s="659">
        <v>10</v>
      </c>
      <c r="AC67" s="658">
        <v>5</v>
      </c>
      <c r="AD67" s="658">
        <v>10</v>
      </c>
      <c r="AE67" s="658">
        <v>10</v>
      </c>
      <c r="AF67" s="656">
        <v>0</v>
      </c>
      <c r="AG67" s="656">
        <v>0</v>
      </c>
      <c r="AH67" s="654">
        <v>0</v>
      </c>
      <c r="AI67" s="658">
        <v>5</v>
      </c>
      <c r="AJ67" s="658">
        <v>6</v>
      </c>
      <c r="AK67" s="658">
        <v>0</v>
      </c>
      <c r="AL67" s="656">
        <v>0</v>
      </c>
      <c r="AM67" s="659">
        <v>10</v>
      </c>
      <c r="AN67" s="664">
        <f t="shared" si="35"/>
        <v>1</v>
      </c>
      <c r="AO67" s="664">
        <f t="shared" si="36"/>
        <v>1</v>
      </c>
      <c r="AP67" s="664">
        <f t="shared" si="37"/>
        <v>1</v>
      </c>
      <c r="AQ67" s="664">
        <f t="shared" si="38"/>
        <v>1</v>
      </c>
      <c r="AR67" s="664">
        <f t="shared" si="39"/>
        <v>2</v>
      </c>
      <c r="AS67" s="664">
        <f t="shared" si="40"/>
        <v>1</v>
      </c>
      <c r="AT67" s="664">
        <f t="shared" si="41"/>
        <v>1</v>
      </c>
      <c r="AU67" s="664">
        <f t="shared" si="42"/>
        <v>1</v>
      </c>
      <c r="AV67" s="664">
        <f t="shared" si="43"/>
        <v>10</v>
      </c>
      <c r="AW67" s="664">
        <f t="shared" si="44"/>
        <v>1</v>
      </c>
      <c r="AX67" s="664">
        <f t="shared" si="45"/>
        <v>10</v>
      </c>
      <c r="AY67" s="664">
        <f t="shared" si="46"/>
        <v>5</v>
      </c>
      <c r="AZ67" s="664">
        <f t="shared" si="47"/>
        <v>10</v>
      </c>
      <c r="BA67" s="664">
        <f t="shared" si="48"/>
        <v>10</v>
      </c>
      <c r="BB67" s="664">
        <f t="shared" si="49"/>
        <v>1</v>
      </c>
      <c r="BC67" s="664">
        <f t="shared" si="50"/>
        <v>1</v>
      </c>
      <c r="BD67" s="664">
        <f t="shared" si="51"/>
        <v>1</v>
      </c>
      <c r="BE67" s="664">
        <f t="shared" si="52"/>
        <v>5</v>
      </c>
      <c r="BF67" s="664">
        <f t="shared" si="53"/>
        <v>8</v>
      </c>
      <c r="BG67" s="664">
        <f t="shared" si="54"/>
        <v>1</v>
      </c>
      <c r="BH67" s="664">
        <f t="shared" si="55"/>
        <v>1</v>
      </c>
      <c r="BI67" s="1009">
        <f t="shared" si="56"/>
        <v>10</v>
      </c>
      <c r="BJ67" s="1020">
        <f t="shared" si="57"/>
        <v>2.1</v>
      </c>
      <c r="BK67" s="931">
        <f t="shared" si="58"/>
        <v>2.1333333333333333</v>
      </c>
      <c r="BL67" s="931">
        <f t="shared" si="59"/>
        <v>1.5</v>
      </c>
      <c r="BM67" s="931">
        <f t="shared" si="60"/>
        <v>10.080000000000002</v>
      </c>
      <c r="BN67" s="931">
        <f t="shared" si="61"/>
        <v>5.6000000000000005</v>
      </c>
      <c r="BO67" s="931">
        <f t="shared" si="62"/>
        <v>4.666666666666667</v>
      </c>
      <c r="BP67" s="1021">
        <f t="shared" si="63"/>
        <v>4</v>
      </c>
      <c r="BQ67" s="1011">
        <f t="shared" si="64"/>
        <v>30.080000000000005</v>
      </c>
      <c r="BR67" s="668">
        <f t="shared" si="65"/>
        <v>64</v>
      </c>
      <c r="BS67" s="942" t="s">
        <v>376</v>
      </c>
      <c r="BT67" s="941" t="s">
        <v>376</v>
      </c>
      <c r="BU67" s="638" t="s">
        <v>1262</v>
      </c>
      <c r="BV67" s="1045" t="str">
        <f>VLOOKUP($B67,Tiers!$A:$K,11,FALSE)</f>
        <v>Tier 1</v>
      </c>
      <c r="BW67" s="670" t="s">
        <v>1369</v>
      </c>
    </row>
    <row r="68" spans="1:75" x14ac:dyDescent="0.25">
      <c r="A68" s="640">
        <v>2</v>
      </c>
      <c r="B68" s="574" t="s">
        <v>1104</v>
      </c>
      <c r="C68" s="574" t="s">
        <v>197</v>
      </c>
      <c r="D68" s="577" t="s">
        <v>754</v>
      </c>
      <c r="E68" s="576" t="s">
        <v>643</v>
      </c>
      <c r="F68" s="576" t="s">
        <v>1004</v>
      </c>
      <c r="G68" s="577">
        <v>1</v>
      </c>
      <c r="H68" s="577">
        <v>1</v>
      </c>
      <c r="I68" s="577" t="s">
        <v>1049</v>
      </c>
      <c r="J68" s="276" t="s">
        <v>824</v>
      </c>
      <c r="K68" s="276" t="s">
        <v>824</v>
      </c>
      <c r="L68" s="276" t="s">
        <v>824</v>
      </c>
      <c r="M68" s="276" t="s">
        <v>824</v>
      </c>
      <c r="N68" s="580"/>
      <c r="O68" s="580"/>
      <c r="P68" s="580" t="s">
        <v>670</v>
      </c>
      <c r="Q68" s="573" t="str">
        <f t="shared" ref="Q68:Q94" si="67">B68</f>
        <v>M2</v>
      </c>
      <c r="R68" s="656">
        <v>0</v>
      </c>
      <c r="S68" s="657">
        <v>925</v>
      </c>
      <c r="T68" s="656">
        <v>0</v>
      </c>
      <c r="U68" s="652">
        <v>1.96</v>
      </c>
      <c r="V68" s="652">
        <v>0.68</v>
      </c>
      <c r="W68" s="656">
        <v>0</v>
      </c>
      <c r="X68" s="656">
        <v>0</v>
      </c>
      <c r="Y68" s="657">
        <v>10</v>
      </c>
      <c r="Z68" s="657">
        <v>10</v>
      </c>
      <c r="AA68" s="656">
        <v>0</v>
      </c>
      <c r="AB68" s="656">
        <v>0</v>
      </c>
      <c r="AC68" s="657">
        <v>5</v>
      </c>
      <c r="AD68" s="656">
        <v>0</v>
      </c>
      <c r="AE68" s="656">
        <v>0</v>
      </c>
      <c r="AF68" s="656">
        <v>0</v>
      </c>
      <c r="AG68" s="656">
        <v>0</v>
      </c>
      <c r="AH68" s="656">
        <v>0</v>
      </c>
      <c r="AI68" s="656">
        <v>0</v>
      </c>
      <c r="AJ68" s="657">
        <v>3</v>
      </c>
      <c r="AK68" s="657">
        <v>10</v>
      </c>
      <c r="AL68" s="657">
        <v>10</v>
      </c>
      <c r="AM68" s="656">
        <v>0</v>
      </c>
      <c r="AN68" s="664">
        <f t="shared" ref="AN68:AN94" si="68">ROUND(IF((10*(R68-MIN(R$4:R$94))/(MAX(R$4:R$94)-MIN(R$4:R$94)))&lt;0.5,1,(10*(R68-MIN(R$4:R$94))/(MAX(R$4:R$94)-MIN(R$4:R$94)))),0)</f>
        <v>1</v>
      </c>
      <c r="AO68" s="664">
        <f t="shared" ref="AO68:AO94" si="69">ROUND(IF((10*(S68-MIN(S$4:S$94))/(MAX(S$4:S$94)-MIN(S$4:S$94)))&lt;0.5,1,(10*(S68-MIN(S$4:S$94))/(MAX(S$4:S$94)-MIN(S$4:S$94)))),0)</f>
        <v>1</v>
      </c>
      <c r="AP68" s="664">
        <f t="shared" ref="AP68:AP94" si="70">ROUND(IF((10*(T68-MIN(T$4:T$94))/(MAX(T$4:T$94)-MIN(T$4:T$94)))&lt;0.5,1,(10*(T68-MIN(T$4:T$94))/(MAX(T$4:T$94)-MIN(T$4:T$94)))),0)</f>
        <v>1</v>
      </c>
      <c r="AQ68" s="664">
        <f t="shared" ref="AQ68:AQ94" si="71">ROUND(IF((10*(U68-MIN(U$4:U$94))/(MAX(U$4:U$94)-MIN(U$4:U$94)))&lt;0.5,1,(10*(U68-MIN(U$4:U$94))/(MAX(U$4:U$94)-MIN(U$4:U$94)))),0)</f>
        <v>4</v>
      </c>
      <c r="AR68" s="664">
        <f t="shared" ref="AR68:AR94" si="72">ROUND(IF((10*(V68-MIN(V$4:V$94))/(MAX(V$4:V$94)-MIN(V$4:V$94)))&lt;0.5,1,(10*(V68-MIN(V$4:V$94))/(MAX(V$4:V$94)-MIN(V$4:V$94)))),0)</f>
        <v>4</v>
      </c>
      <c r="AS68" s="664">
        <f t="shared" ref="AS68:AS94" si="73">ROUND(IF((10*(W68-MIN(W$4:W$94))/(MAX(W$4:W$94)-MIN(W$4:W$94)))&lt;0.5,1,(10*(W68-MIN(W$4:W$94))/(MAX(W$4:W$94)-MIN(W$4:W$94)))),0)</f>
        <v>1</v>
      </c>
      <c r="AT68" s="664">
        <f t="shared" ref="AT68:AT94" si="74">ROUND(IF((10*(X68-MIN(X$4:X$94))/(MAX(X$4:X$94)-MIN(X$4:X$94)))&lt;0.5,1,(10*(X68-MIN(X$4:X$94))/(MAX(X$4:X$94)-MIN(X$4:X$94)))),0)</f>
        <v>1</v>
      </c>
      <c r="AU68" s="664">
        <f t="shared" ref="AU68:AU94" si="75">ROUND(IF((10*(Y68-MIN(Y$4:Y$94))/(MAX(Y$4:Y$94)-MIN(Y$4:Y$94)))&lt;0.5,1,(10*(Y68-MIN(Y$4:Y$94))/(MAX(Y$4:Y$94)-MIN(Y$4:Y$94)))),0)</f>
        <v>10</v>
      </c>
      <c r="AV68" s="664">
        <f t="shared" ref="AV68:AV94" si="76">ROUND(IF((10*(Z68-MIN(Z$4:Z$94))/(MAX(Z$4:Z$94)-MIN(Z$4:Z$94)))&lt;0.5,1,(10*(Z68-MIN(Z$4:Z$94))/(MAX(Z$4:Z$94)-MIN(Z$4:Z$94)))),0)</f>
        <v>10</v>
      </c>
      <c r="AW68" s="664">
        <f t="shared" ref="AW68:AW94" si="77">ROUND(IF((10*(AA68-MIN(AA$4:AA$94))/(MAX(AA$4:AA$94)-MIN(AA$4:AA$94)))&lt;0.5,1,(10*(AA68-MIN(AA$4:AA$94))/(MAX(AA$4:AA$94)-MIN(AA$4:AA$94)))),0)</f>
        <v>1</v>
      </c>
      <c r="AX68" s="664">
        <f t="shared" ref="AX68:AX94" si="78">ROUND(IF((10*(AB68-MIN(AB$4:AB$94))/(MAX(AB$4:AB$94)-MIN(AB$4:AB$94)))&lt;0.5,1,(10*(AB68-MIN(AB$4:AB$94))/(MAX(AB$4:AB$94)-MIN(AB$4:AB$94)))),0)</f>
        <v>1</v>
      </c>
      <c r="AY68" s="664">
        <f t="shared" ref="AY68:AY94" si="79">ROUND(IF((10*(AC68-MIN(AC$4:AC$94))/(MAX(AC$4:AC$94)-MIN(AC$4:AC$94)))&lt;0.5,1,(10*(AC68-MIN(AC$4:AC$94))/(MAX(AC$4:AC$94)-MIN(AC$4:AC$94)))),0)</f>
        <v>5</v>
      </c>
      <c r="AZ68" s="664">
        <f t="shared" ref="AZ68:AZ94" si="80">ROUND(IF((10*(AD68-MIN(AD$4:AD$94))/(MAX(AD$4:AD$94)-MIN(AD$4:AD$94)))&lt;0.5,1,(10*(AD68-MIN(AD$4:AD$94))/(MAX(AD$4:AD$94)-MIN(AD$4:AD$94)))),0)</f>
        <v>1</v>
      </c>
      <c r="BA68" s="664">
        <f t="shared" ref="BA68:BA94" si="81">ROUND(IF((10*(AE68-MIN(AE$4:AE$94))/(MAX(AE$4:AE$94)-MIN(AE$4:AE$94)))&lt;0.5,1,(10*(AE68-MIN(AE$4:AE$94))/(MAX(AE$4:AE$94)-MIN(AE$4:AE$94)))),0)</f>
        <v>1</v>
      </c>
      <c r="BB68" s="664">
        <f t="shared" ref="BB68:BB94" si="82">ROUND(IF((10*(AF68-MIN(AF$4:AF$94))/(MAX(AF$4:AF$94)-MIN(AF$4:AF$94)))&lt;0.5,1,(10*(AF68-MIN(AF$4:AF$94))/(MAX(AF$4:AF$94)-MIN(AF$4:AF$94)))),0)</f>
        <v>1</v>
      </c>
      <c r="BC68" s="664">
        <f t="shared" ref="BC68:BC94" si="83">ROUND(IF((10*(AG68-MIN(AG$4:AG$94))/(MAX(AG$4:AG$94)-MIN(AG$4:AG$94)))&lt;0.5,1,(10*(AG68-MIN(AG$4:AG$94))/(MAX(AG$4:AG$94)-MIN(AG$4:AG$94)))),0)</f>
        <v>1</v>
      </c>
      <c r="BD68" s="664">
        <f t="shared" ref="BD68:BD94" si="84">ROUND(IF((10*(AH68-MIN(AH$4:AH$94))/(MAX(AH$4:AH$94)-MIN(AH$4:AH$94)))&lt;0.5,1,(10*(AH68-MIN(AH$4:AH$94))/(MAX(AH$4:AH$94)-MIN(AH$4:AH$94)))),0)</f>
        <v>1</v>
      </c>
      <c r="BE68" s="664">
        <f t="shared" ref="BE68:BE94" si="85">ROUND(IF((10*(AI68-MIN(AI$4:AI$94))/(MAX(AI$4:AI$94)-MIN(AI$4:AI$94)))&lt;0.5,1,(10*(AI68-MIN(AI$4:AI$94))/(MAX(AI$4:AI$94)-MIN(AI$4:AI$94)))),0)</f>
        <v>1</v>
      </c>
      <c r="BF68" s="664">
        <f t="shared" ref="BF68:BF94" si="86">ROUND(IF((10*(AJ68-MIN(AJ$4:AJ$94))/(MAX(AJ$4:AJ$94)-MIN(AJ$4:AJ$94)))&lt;0.5,1,(10*(AJ68-MIN(AJ$4:AJ$94))/(MAX(AJ$4:AJ$94)-MIN(AJ$4:AJ$94)))),0)</f>
        <v>1</v>
      </c>
      <c r="BG68" s="664">
        <f t="shared" ref="BG68:BG94" si="87">ROUND(IF((10*(AK68-MIN(AK$4:AK$94))/(MAX(AK$4:AK$94)-MIN(AK$4:AK$94)))&lt;0.5,1,(10*(AK68-MIN(AK$4:AK$94))/(MAX(AK$4:AK$94)-MIN(AK$4:AK$94)))),0)</f>
        <v>10</v>
      </c>
      <c r="BH68" s="664">
        <f t="shared" ref="BH68:BH94" si="88">ROUND(IF((10*(AL68-MIN(AL$4:AL$94))/(MAX(AL$4:AL$94)-MIN(AL$4:AL$94)))&lt;0.5,1,(10*(AL68-MIN(AL$4:AL$94))/(MAX(AL$4:AL$94)-MIN(AL$4:AL$94)))),0)</f>
        <v>10</v>
      </c>
      <c r="BI68" s="1009">
        <f t="shared" ref="BI68:BI94" si="89">ROUND(IF((10*(AM68-MIN(AM$4:AM$94))/(MAX(AM$4:AM$94)-MIN(AM$4:AM$94)))&lt;0.5,1,(10*(AM68-MIN(AM$4:AM$94))/(MAX(AM$4:AM$94)-MIN(AM$4:AM$94)))),0)</f>
        <v>1</v>
      </c>
      <c r="BJ68" s="1020">
        <f t="shared" ref="BJ68:BJ94" si="90">AVERAGE($AN68:$AP68)*BJ$2*10</f>
        <v>2.1</v>
      </c>
      <c r="BK68" s="931">
        <f t="shared" ref="BK68:BK94" si="91">AVERAGE($AQ68:$AS68)*BK$2*10</f>
        <v>4.8</v>
      </c>
      <c r="BL68" s="931">
        <f t="shared" ref="BL68:BL94" si="92">AVERAGE($AT68:$AU68)*BL$2*10</f>
        <v>8.25</v>
      </c>
      <c r="BM68" s="931">
        <f t="shared" ref="BM68:BM94" si="93">AVERAGE($AV68:$AZ68)*BM$2*10</f>
        <v>5.0400000000000009</v>
      </c>
      <c r="BN68" s="931">
        <f t="shared" ref="BN68:BN94" si="94">AVERAGE($BA68:$BC68)*BN$2*10</f>
        <v>1.4000000000000001</v>
      </c>
      <c r="BO68" s="931">
        <f t="shared" ref="BO68:BO94" si="95">AVERAGE($BD68:$BF68)*BO$2*10</f>
        <v>1</v>
      </c>
      <c r="BP68" s="1021">
        <f t="shared" ref="BP68:BP94" si="96">AVERAGE($BG68:$BI68)*BP$2*10</f>
        <v>7.0000000000000009</v>
      </c>
      <c r="BQ68" s="1011">
        <f t="shared" ref="BQ68:BQ94" si="97">SUM(BJ68:BP68)</f>
        <v>29.59</v>
      </c>
      <c r="BR68" s="668">
        <f t="shared" ref="BR68:BR94" si="98">RANK(BQ68,BQ$4:BQ$94,0)</f>
        <v>65</v>
      </c>
      <c r="BS68" s="944" t="s">
        <v>376</v>
      </c>
      <c r="BT68" s="941" t="s">
        <v>376</v>
      </c>
      <c r="BU68" s="638" t="s">
        <v>1262</v>
      </c>
      <c r="BV68" s="1048" t="str">
        <f>VLOOKUP($B68,Tiers!$A:$K,11,FALSE)</f>
        <v>Tier 4</v>
      </c>
      <c r="BW68" s="670"/>
    </row>
    <row r="69" spans="1:75" x14ac:dyDescent="0.25">
      <c r="A69" s="640">
        <v>102</v>
      </c>
      <c r="B69" s="600" t="s">
        <v>1099</v>
      </c>
      <c r="C69" s="574" t="s">
        <v>360</v>
      </c>
      <c r="D69" s="584" t="s">
        <v>1053</v>
      </c>
      <c r="E69" s="576" t="s">
        <v>1054</v>
      </c>
      <c r="F69" s="621"/>
      <c r="G69" s="593" t="s">
        <v>376</v>
      </c>
      <c r="H69" s="594" t="s">
        <v>376</v>
      </c>
      <c r="I69" s="576" t="s">
        <v>573</v>
      </c>
      <c r="J69" s="580" t="s">
        <v>824</v>
      </c>
      <c r="K69" s="580"/>
      <c r="L69" s="580"/>
      <c r="M69" s="580"/>
      <c r="N69" s="581" t="s">
        <v>262</v>
      </c>
      <c r="O69" s="581" t="s">
        <v>262</v>
      </c>
      <c r="P69" s="583" t="s">
        <v>670</v>
      </c>
      <c r="Q69" s="573" t="str">
        <f t="shared" si="67"/>
        <v>C2</v>
      </c>
      <c r="R69" s="656">
        <v>0</v>
      </c>
      <c r="S69" s="656">
        <v>0</v>
      </c>
      <c r="T69" s="656">
        <v>0</v>
      </c>
      <c r="U69" s="651">
        <v>0</v>
      </c>
      <c r="V69" s="651">
        <v>0</v>
      </c>
      <c r="W69" s="656">
        <v>0</v>
      </c>
      <c r="X69" s="656">
        <v>0</v>
      </c>
      <c r="Y69" s="657">
        <v>10</v>
      </c>
      <c r="Z69" s="656">
        <v>0</v>
      </c>
      <c r="AA69" s="655">
        <v>10</v>
      </c>
      <c r="AB69" s="656">
        <v>0</v>
      </c>
      <c r="AC69" s="656">
        <v>0</v>
      </c>
      <c r="AD69" s="657">
        <v>5</v>
      </c>
      <c r="AE69" s="657">
        <v>10</v>
      </c>
      <c r="AF69" s="656">
        <v>0</v>
      </c>
      <c r="AG69" s="656">
        <v>0</v>
      </c>
      <c r="AH69" s="654">
        <v>0</v>
      </c>
      <c r="AI69" s="656">
        <v>0</v>
      </c>
      <c r="AJ69" s="657">
        <v>3</v>
      </c>
      <c r="AK69" s="657">
        <v>5</v>
      </c>
      <c r="AL69" s="656">
        <v>0</v>
      </c>
      <c r="AM69" s="657">
        <v>10</v>
      </c>
      <c r="AN69" s="664">
        <f t="shared" si="68"/>
        <v>1</v>
      </c>
      <c r="AO69" s="664">
        <f t="shared" si="69"/>
        <v>1</v>
      </c>
      <c r="AP69" s="664">
        <f t="shared" si="70"/>
        <v>1</v>
      </c>
      <c r="AQ69" s="664">
        <f t="shared" si="71"/>
        <v>1</v>
      </c>
      <c r="AR69" s="664">
        <f t="shared" si="72"/>
        <v>1</v>
      </c>
      <c r="AS69" s="664">
        <f t="shared" si="73"/>
        <v>1</v>
      </c>
      <c r="AT69" s="664">
        <f t="shared" si="74"/>
        <v>1</v>
      </c>
      <c r="AU69" s="664">
        <f t="shared" si="75"/>
        <v>10</v>
      </c>
      <c r="AV69" s="664">
        <f t="shared" si="76"/>
        <v>1</v>
      </c>
      <c r="AW69" s="664">
        <f t="shared" si="77"/>
        <v>10</v>
      </c>
      <c r="AX69" s="664">
        <f t="shared" si="78"/>
        <v>1</v>
      </c>
      <c r="AY69" s="664">
        <f t="shared" si="79"/>
        <v>1</v>
      </c>
      <c r="AZ69" s="664">
        <f t="shared" si="80"/>
        <v>5</v>
      </c>
      <c r="BA69" s="664">
        <f t="shared" si="81"/>
        <v>10</v>
      </c>
      <c r="BB69" s="664">
        <f t="shared" si="82"/>
        <v>1</v>
      </c>
      <c r="BC69" s="664">
        <f t="shared" si="83"/>
        <v>1</v>
      </c>
      <c r="BD69" s="664">
        <f t="shared" si="84"/>
        <v>1</v>
      </c>
      <c r="BE69" s="664">
        <f t="shared" si="85"/>
        <v>1</v>
      </c>
      <c r="BF69" s="664">
        <f t="shared" si="86"/>
        <v>1</v>
      </c>
      <c r="BG69" s="664">
        <f t="shared" si="87"/>
        <v>5</v>
      </c>
      <c r="BH69" s="664">
        <f t="shared" si="88"/>
        <v>1</v>
      </c>
      <c r="BI69" s="1009">
        <f t="shared" si="89"/>
        <v>10</v>
      </c>
      <c r="BJ69" s="1020">
        <f t="shared" si="90"/>
        <v>2.1</v>
      </c>
      <c r="BK69" s="931">
        <f t="shared" si="91"/>
        <v>1.6</v>
      </c>
      <c r="BL69" s="931">
        <f t="shared" si="92"/>
        <v>8.25</v>
      </c>
      <c r="BM69" s="931">
        <f t="shared" si="93"/>
        <v>5.0400000000000009</v>
      </c>
      <c r="BN69" s="931">
        <f t="shared" si="94"/>
        <v>5.6000000000000005</v>
      </c>
      <c r="BO69" s="931">
        <f t="shared" si="95"/>
        <v>1</v>
      </c>
      <c r="BP69" s="1021">
        <f t="shared" si="96"/>
        <v>5.333333333333333</v>
      </c>
      <c r="BQ69" s="1011">
        <f t="shared" si="97"/>
        <v>28.923333333333336</v>
      </c>
      <c r="BR69" s="668">
        <f t="shared" si="98"/>
        <v>66</v>
      </c>
      <c r="BS69" s="942" t="s">
        <v>376</v>
      </c>
      <c r="BT69" s="941" t="s">
        <v>376</v>
      </c>
      <c r="BU69" s="638" t="s">
        <v>1262</v>
      </c>
      <c r="BV69" s="1045" t="e">
        <f>VLOOKUP($B69,Tiers!$A:$K,11,FALSE)</f>
        <v>#N/A</v>
      </c>
      <c r="BW69" s="670" t="s">
        <v>1368</v>
      </c>
    </row>
    <row r="70" spans="1:75" ht="13.8" x14ac:dyDescent="0.3">
      <c r="A70" s="641">
        <v>5</v>
      </c>
      <c r="B70" s="574" t="s">
        <v>1108</v>
      </c>
      <c r="C70" s="574" t="s">
        <v>197</v>
      </c>
      <c r="D70" s="577" t="s">
        <v>758</v>
      </c>
      <c r="E70" s="32" t="s">
        <v>862</v>
      </c>
      <c r="F70" s="32" t="s">
        <v>1350</v>
      </c>
      <c r="G70" s="577">
        <v>1</v>
      </c>
      <c r="H70" s="577">
        <v>1</v>
      </c>
      <c r="I70" s="577" t="s">
        <v>1049</v>
      </c>
      <c r="J70" s="276" t="s">
        <v>824</v>
      </c>
      <c r="K70" s="276" t="s">
        <v>824</v>
      </c>
      <c r="L70" s="276" t="s">
        <v>824</v>
      </c>
      <c r="M70" s="276" t="s">
        <v>824</v>
      </c>
      <c r="N70" s="580"/>
      <c r="O70" s="580"/>
      <c r="P70" s="580" t="s">
        <v>670</v>
      </c>
      <c r="Q70" s="573" t="str">
        <f t="shared" si="67"/>
        <v>M6</v>
      </c>
      <c r="R70" s="656">
        <v>0</v>
      </c>
      <c r="S70" s="657">
        <v>1590</v>
      </c>
      <c r="T70" s="656">
        <v>0</v>
      </c>
      <c r="U70" s="652">
        <v>1.89</v>
      </c>
      <c r="V70" s="652">
        <v>1.2</v>
      </c>
      <c r="W70" s="656">
        <v>0</v>
      </c>
      <c r="X70" s="656">
        <v>0</v>
      </c>
      <c r="Y70" s="657">
        <v>5</v>
      </c>
      <c r="Z70" s="657">
        <v>10</v>
      </c>
      <c r="AA70" s="654">
        <v>0</v>
      </c>
      <c r="AB70" s="656">
        <v>0</v>
      </c>
      <c r="AC70" s="657">
        <v>5</v>
      </c>
      <c r="AD70" s="656">
        <v>0</v>
      </c>
      <c r="AE70" s="656">
        <v>0</v>
      </c>
      <c r="AF70" s="656">
        <v>0</v>
      </c>
      <c r="AG70" s="656">
        <v>0</v>
      </c>
      <c r="AH70" s="654">
        <v>0</v>
      </c>
      <c r="AI70" s="656">
        <v>0</v>
      </c>
      <c r="AJ70" s="657">
        <v>3</v>
      </c>
      <c r="AK70" s="657">
        <v>10</v>
      </c>
      <c r="AL70" s="657">
        <v>10</v>
      </c>
      <c r="AM70" s="656">
        <v>0</v>
      </c>
      <c r="AN70" s="664">
        <f t="shared" si="68"/>
        <v>1</v>
      </c>
      <c r="AO70" s="664">
        <f t="shared" si="69"/>
        <v>2</v>
      </c>
      <c r="AP70" s="664">
        <f t="shared" si="70"/>
        <v>1</v>
      </c>
      <c r="AQ70" s="664">
        <f t="shared" si="71"/>
        <v>4</v>
      </c>
      <c r="AR70" s="664">
        <f t="shared" si="72"/>
        <v>8</v>
      </c>
      <c r="AS70" s="664">
        <f t="shared" si="73"/>
        <v>1</v>
      </c>
      <c r="AT70" s="664">
        <f t="shared" si="74"/>
        <v>1</v>
      </c>
      <c r="AU70" s="664">
        <f t="shared" si="75"/>
        <v>5</v>
      </c>
      <c r="AV70" s="664">
        <f t="shared" si="76"/>
        <v>10</v>
      </c>
      <c r="AW70" s="664">
        <f t="shared" si="77"/>
        <v>1</v>
      </c>
      <c r="AX70" s="664">
        <f t="shared" si="78"/>
        <v>1</v>
      </c>
      <c r="AY70" s="664">
        <f t="shared" si="79"/>
        <v>5</v>
      </c>
      <c r="AZ70" s="664">
        <f t="shared" si="80"/>
        <v>1</v>
      </c>
      <c r="BA70" s="664">
        <f t="shared" si="81"/>
        <v>1</v>
      </c>
      <c r="BB70" s="664">
        <f t="shared" si="82"/>
        <v>1</v>
      </c>
      <c r="BC70" s="664">
        <f t="shared" si="83"/>
        <v>1</v>
      </c>
      <c r="BD70" s="664">
        <f t="shared" si="84"/>
        <v>1</v>
      </c>
      <c r="BE70" s="664">
        <f t="shared" si="85"/>
        <v>1</v>
      </c>
      <c r="BF70" s="664">
        <f t="shared" si="86"/>
        <v>1</v>
      </c>
      <c r="BG70" s="664">
        <f t="shared" si="87"/>
        <v>10</v>
      </c>
      <c r="BH70" s="664">
        <f t="shared" si="88"/>
        <v>10</v>
      </c>
      <c r="BI70" s="1009">
        <f t="shared" si="89"/>
        <v>1</v>
      </c>
      <c r="BJ70" s="1020">
        <f t="shared" si="90"/>
        <v>2.8</v>
      </c>
      <c r="BK70" s="931">
        <f t="shared" si="91"/>
        <v>6.9333333333333327</v>
      </c>
      <c r="BL70" s="931">
        <f t="shared" si="92"/>
        <v>4.5</v>
      </c>
      <c r="BM70" s="931">
        <f t="shared" si="93"/>
        <v>5.0400000000000009</v>
      </c>
      <c r="BN70" s="931">
        <f t="shared" si="94"/>
        <v>1.4000000000000001</v>
      </c>
      <c r="BO70" s="931">
        <f t="shared" si="95"/>
        <v>1</v>
      </c>
      <c r="BP70" s="1021">
        <f t="shared" si="96"/>
        <v>7.0000000000000009</v>
      </c>
      <c r="BQ70" s="1011">
        <f t="shared" si="97"/>
        <v>28.673333333333332</v>
      </c>
      <c r="BR70" s="668">
        <f t="shared" si="98"/>
        <v>67</v>
      </c>
      <c r="BS70" s="944" t="s">
        <v>376</v>
      </c>
      <c r="BT70" s="941" t="s">
        <v>376</v>
      </c>
      <c r="BU70" s="638" t="s">
        <v>1262</v>
      </c>
      <c r="BV70" s="1048" t="str">
        <f>VLOOKUP($B70,Tiers!$A:$K,11,FALSE)</f>
        <v>Tier 4</v>
      </c>
      <c r="BW70" s="670"/>
    </row>
    <row r="71" spans="1:75" ht="13.8" x14ac:dyDescent="0.3">
      <c r="A71" s="640">
        <v>8</v>
      </c>
      <c r="B71" s="574" t="s">
        <v>1111</v>
      </c>
      <c r="C71" s="574" t="s">
        <v>197</v>
      </c>
      <c r="D71" s="577" t="s">
        <v>761</v>
      </c>
      <c r="E71" s="32" t="s">
        <v>1353</v>
      </c>
      <c r="F71" s="32" t="s">
        <v>725</v>
      </c>
      <c r="G71" s="577">
        <v>1</v>
      </c>
      <c r="H71" s="577">
        <v>1</v>
      </c>
      <c r="I71" s="577" t="s">
        <v>1049</v>
      </c>
      <c r="J71" s="276" t="s">
        <v>824</v>
      </c>
      <c r="K71" s="276" t="s">
        <v>824</v>
      </c>
      <c r="L71" s="276" t="s">
        <v>824</v>
      </c>
      <c r="M71" s="276" t="s">
        <v>824</v>
      </c>
      <c r="N71" s="580"/>
      <c r="O71" s="580"/>
      <c r="P71" s="580" t="s">
        <v>670</v>
      </c>
      <c r="Q71" s="573" t="str">
        <f t="shared" si="67"/>
        <v>M9</v>
      </c>
      <c r="R71" s="656">
        <v>0</v>
      </c>
      <c r="S71" s="657">
        <v>1445</v>
      </c>
      <c r="T71" s="656">
        <v>0</v>
      </c>
      <c r="U71" s="651">
        <v>0</v>
      </c>
      <c r="V71" s="652">
        <v>0.79</v>
      </c>
      <c r="W71" s="656">
        <v>0</v>
      </c>
      <c r="X71" s="656">
        <v>0</v>
      </c>
      <c r="Y71" s="656">
        <v>0</v>
      </c>
      <c r="Z71" s="657">
        <v>10</v>
      </c>
      <c r="AA71" s="654">
        <v>0</v>
      </c>
      <c r="AB71" s="656">
        <v>0</v>
      </c>
      <c r="AC71" s="657">
        <v>5</v>
      </c>
      <c r="AD71" s="656">
        <v>0</v>
      </c>
      <c r="AE71" s="657">
        <v>10</v>
      </c>
      <c r="AF71" s="656">
        <v>0</v>
      </c>
      <c r="AG71" s="657">
        <v>10</v>
      </c>
      <c r="AH71" s="654">
        <v>0</v>
      </c>
      <c r="AI71" s="656">
        <v>0</v>
      </c>
      <c r="AJ71" s="657">
        <v>4</v>
      </c>
      <c r="AK71" s="656">
        <v>0</v>
      </c>
      <c r="AL71" s="657">
        <v>10</v>
      </c>
      <c r="AM71" s="654">
        <v>0</v>
      </c>
      <c r="AN71" s="664">
        <f t="shared" si="68"/>
        <v>1</v>
      </c>
      <c r="AO71" s="664">
        <f t="shared" si="69"/>
        <v>2</v>
      </c>
      <c r="AP71" s="664">
        <f t="shared" si="70"/>
        <v>1</v>
      </c>
      <c r="AQ71" s="664">
        <f t="shared" si="71"/>
        <v>1</v>
      </c>
      <c r="AR71" s="664">
        <f t="shared" si="72"/>
        <v>5</v>
      </c>
      <c r="AS71" s="664">
        <f t="shared" si="73"/>
        <v>1</v>
      </c>
      <c r="AT71" s="664">
        <f t="shared" si="74"/>
        <v>1</v>
      </c>
      <c r="AU71" s="664">
        <f t="shared" si="75"/>
        <v>1</v>
      </c>
      <c r="AV71" s="664">
        <f t="shared" si="76"/>
        <v>10</v>
      </c>
      <c r="AW71" s="664">
        <f t="shared" si="77"/>
        <v>1</v>
      </c>
      <c r="AX71" s="664">
        <f t="shared" si="78"/>
        <v>1</v>
      </c>
      <c r="AY71" s="664">
        <f t="shared" si="79"/>
        <v>5</v>
      </c>
      <c r="AZ71" s="664">
        <f t="shared" si="80"/>
        <v>1</v>
      </c>
      <c r="BA71" s="664">
        <f t="shared" si="81"/>
        <v>10</v>
      </c>
      <c r="BB71" s="664">
        <f t="shared" si="82"/>
        <v>1</v>
      </c>
      <c r="BC71" s="664">
        <f t="shared" si="83"/>
        <v>10</v>
      </c>
      <c r="BD71" s="664">
        <f t="shared" si="84"/>
        <v>1</v>
      </c>
      <c r="BE71" s="664">
        <f t="shared" si="85"/>
        <v>1</v>
      </c>
      <c r="BF71" s="664">
        <f t="shared" si="86"/>
        <v>3</v>
      </c>
      <c r="BG71" s="664">
        <f t="shared" si="87"/>
        <v>1</v>
      </c>
      <c r="BH71" s="664">
        <f t="shared" si="88"/>
        <v>10</v>
      </c>
      <c r="BI71" s="1009">
        <f t="shared" si="89"/>
        <v>1</v>
      </c>
      <c r="BJ71" s="1020">
        <f t="shared" si="90"/>
        <v>2.8</v>
      </c>
      <c r="BK71" s="931">
        <f t="shared" si="91"/>
        <v>3.7333333333333334</v>
      </c>
      <c r="BL71" s="931">
        <f t="shared" si="92"/>
        <v>1.5</v>
      </c>
      <c r="BM71" s="931">
        <f t="shared" si="93"/>
        <v>5.0400000000000009</v>
      </c>
      <c r="BN71" s="931">
        <f t="shared" si="94"/>
        <v>9.8000000000000007</v>
      </c>
      <c r="BO71" s="931">
        <f t="shared" si="95"/>
        <v>1.666666666666667</v>
      </c>
      <c r="BP71" s="1021">
        <f t="shared" si="96"/>
        <v>4</v>
      </c>
      <c r="BQ71" s="1011">
        <f t="shared" si="97"/>
        <v>28.540000000000003</v>
      </c>
      <c r="BR71" s="668">
        <f t="shared" si="98"/>
        <v>68</v>
      </c>
      <c r="BS71" s="944" t="s">
        <v>376</v>
      </c>
      <c r="BT71" s="941" t="s">
        <v>376</v>
      </c>
      <c r="BU71" s="638" t="s">
        <v>1262</v>
      </c>
      <c r="BV71" s="1048" t="str">
        <f>VLOOKUP($B71,Tiers!$A:$K,11,FALSE)</f>
        <v>Tier 4</v>
      </c>
      <c r="BW71" s="670"/>
    </row>
    <row r="72" spans="1:75" ht="13.8" x14ac:dyDescent="0.3">
      <c r="A72" s="640">
        <v>76</v>
      </c>
      <c r="B72" s="600" t="s">
        <v>1388</v>
      </c>
      <c r="C72" s="574" t="s">
        <v>37</v>
      </c>
      <c r="D72" s="142" t="s">
        <v>1383</v>
      </c>
      <c r="E72" s="576" t="s">
        <v>728</v>
      </c>
      <c r="F72" s="576" t="s">
        <v>855</v>
      </c>
      <c r="G72" s="578">
        <v>1413.4102419999999</v>
      </c>
      <c r="H72" s="579">
        <f>G72/5280</f>
        <v>0.26769133371212117</v>
      </c>
      <c r="I72" s="576" t="s">
        <v>1643</v>
      </c>
      <c r="J72" s="580"/>
      <c r="K72" s="580" t="s">
        <v>824</v>
      </c>
      <c r="L72" s="580" t="s">
        <v>824</v>
      </c>
      <c r="M72" s="580"/>
      <c r="N72" s="582" t="s">
        <v>262</v>
      </c>
      <c r="O72" s="581" t="s">
        <v>262</v>
      </c>
      <c r="P72" s="583" t="s">
        <v>670</v>
      </c>
      <c r="Q72" s="573" t="str">
        <f t="shared" si="67"/>
        <v>M124</v>
      </c>
      <c r="R72" s="656">
        <v>0</v>
      </c>
      <c r="S72" s="657">
        <v>475</v>
      </c>
      <c r="T72" s="656">
        <v>0</v>
      </c>
      <c r="U72" s="656">
        <v>0</v>
      </c>
      <c r="V72" s="906">
        <v>0.37</v>
      </c>
      <c r="W72" s="656">
        <v>0</v>
      </c>
      <c r="X72" s="656">
        <v>0</v>
      </c>
      <c r="Y72" s="656">
        <v>0</v>
      </c>
      <c r="Z72" s="658">
        <v>10</v>
      </c>
      <c r="AA72" s="654">
        <v>0</v>
      </c>
      <c r="AB72" s="658">
        <v>10</v>
      </c>
      <c r="AC72" s="658">
        <v>5</v>
      </c>
      <c r="AD72" s="658">
        <v>10</v>
      </c>
      <c r="AE72" s="658">
        <v>10</v>
      </c>
      <c r="AF72" s="656">
        <v>0</v>
      </c>
      <c r="AG72" s="656">
        <v>0</v>
      </c>
      <c r="AH72" s="654">
        <v>0</v>
      </c>
      <c r="AI72" s="658">
        <v>5</v>
      </c>
      <c r="AJ72" s="658">
        <v>6</v>
      </c>
      <c r="AK72" s="658">
        <v>0</v>
      </c>
      <c r="AL72" s="656">
        <v>0</v>
      </c>
      <c r="AM72" s="658">
        <v>5</v>
      </c>
      <c r="AN72" s="664">
        <f t="shared" si="68"/>
        <v>1</v>
      </c>
      <c r="AO72" s="664">
        <f t="shared" si="69"/>
        <v>1</v>
      </c>
      <c r="AP72" s="664">
        <f t="shared" si="70"/>
        <v>1</v>
      </c>
      <c r="AQ72" s="664">
        <f t="shared" si="71"/>
        <v>1</v>
      </c>
      <c r="AR72" s="664">
        <f t="shared" si="72"/>
        <v>2</v>
      </c>
      <c r="AS72" s="664">
        <f t="shared" si="73"/>
        <v>1</v>
      </c>
      <c r="AT72" s="664">
        <f t="shared" si="74"/>
        <v>1</v>
      </c>
      <c r="AU72" s="664">
        <f t="shared" si="75"/>
        <v>1</v>
      </c>
      <c r="AV72" s="664">
        <f t="shared" si="76"/>
        <v>10</v>
      </c>
      <c r="AW72" s="664">
        <f t="shared" si="77"/>
        <v>1</v>
      </c>
      <c r="AX72" s="664">
        <f t="shared" si="78"/>
        <v>10</v>
      </c>
      <c r="AY72" s="664">
        <f t="shared" si="79"/>
        <v>5</v>
      </c>
      <c r="AZ72" s="664">
        <f t="shared" si="80"/>
        <v>10</v>
      </c>
      <c r="BA72" s="664">
        <f t="shared" si="81"/>
        <v>10</v>
      </c>
      <c r="BB72" s="664">
        <f t="shared" si="82"/>
        <v>1</v>
      </c>
      <c r="BC72" s="664">
        <f t="shared" si="83"/>
        <v>1</v>
      </c>
      <c r="BD72" s="664">
        <f t="shared" si="84"/>
        <v>1</v>
      </c>
      <c r="BE72" s="664">
        <f t="shared" si="85"/>
        <v>5</v>
      </c>
      <c r="BF72" s="664">
        <f t="shared" si="86"/>
        <v>8</v>
      </c>
      <c r="BG72" s="664">
        <f t="shared" si="87"/>
        <v>1</v>
      </c>
      <c r="BH72" s="664">
        <f t="shared" si="88"/>
        <v>1</v>
      </c>
      <c r="BI72" s="1009">
        <f t="shared" si="89"/>
        <v>5</v>
      </c>
      <c r="BJ72" s="1020">
        <f t="shared" si="90"/>
        <v>2.1</v>
      </c>
      <c r="BK72" s="931">
        <f t="shared" si="91"/>
        <v>2.1333333333333333</v>
      </c>
      <c r="BL72" s="931">
        <f t="shared" si="92"/>
        <v>1.5</v>
      </c>
      <c r="BM72" s="931">
        <f t="shared" si="93"/>
        <v>10.080000000000002</v>
      </c>
      <c r="BN72" s="931">
        <f t="shared" si="94"/>
        <v>5.6000000000000005</v>
      </c>
      <c r="BO72" s="931">
        <f t="shared" si="95"/>
        <v>4.666666666666667</v>
      </c>
      <c r="BP72" s="1021">
        <f t="shared" si="96"/>
        <v>2.3333333333333335</v>
      </c>
      <c r="BQ72" s="1011">
        <f t="shared" si="97"/>
        <v>28.413333333333338</v>
      </c>
      <c r="BR72" s="668">
        <f t="shared" si="98"/>
        <v>69</v>
      </c>
      <c r="BS72" s="942" t="s">
        <v>376</v>
      </c>
      <c r="BT72" s="941" t="s">
        <v>376</v>
      </c>
      <c r="BU72" s="638" t="s">
        <v>1262</v>
      </c>
      <c r="BV72" s="1045" t="str">
        <f>VLOOKUP($B72,Tiers!$A:$K,11,FALSE)</f>
        <v>Tier 2</v>
      </c>
      <c r="BW72" s="590" t="s">
        <v>1370</v>
      </c>
    </row>
    <row r="73" spans="1:75" x14ac:dyDescent="0.25">
      <c r="A73" s="640">
        <v>55</v>
      </c>
      <c r="B73" s="600" t="s">
        <v>1417</v>
      </c>
      <c r="C73" s="574" t="s">
        <v>139</v>
      </c>
      <c r="D73" s="576" t="s">
        <v>1418</v>
      </c>
      <c r="E73" s="576" t="s">
        <v>1420</v>
      </c>
      <c r="F73" s="576" t="s">
        <v>1421</v>
      </c>
      <c r="G73" s="578">
        <v>6940.4869209999997</v>
      </c>
      <c r="H73" s="579">
        <v>1.314486159280303</v>
      </c>
      <c r="I73" s="579" t="s">
        <v>1487</v>
      </c>
      <c r="J73" s="580"/>
      <c r="K73" s="580"/>
      <c r="L73" s="580"/>
      <c r="M73" s="580"/>
      <c r="N73" s="581"/>
      <c r="O73" s="581"/>
      <c r="P73" s="583"/>
      <c r="Q73" s="573" t="str">
        <f t="shared" si="67"/>
        <v>M74</v>
      </c>
      <c r="R73" s="656">
        <v>0</v>
      </c>
      <c r="S73" s="658">
        <v>260</v>
      </c>
      <c r="T73" s="658">
        <v>5</v>
      </c>
      <c r="U73" s="656">
        <v>0</v>
      </c>
      <c r="V73" s="653">
        <v>0.49</v>
      </c>
      <c r="W73" s="656">
        <v>0</v>
      </c>
      <c r="X73" s="656">
        <v>0</v>
      </c>
      <c r="Y73" s="656">
        <v>0</v>
      </c>
      <c r="Z73" s="656">
        <v>0</v>
      </c>
      <c r="AA73" s="654">
        <v>0</v>
      </c>
      <c r="AB73" s="656">
        <v>0</v>
      </c>
      <c r="AC73" s="658">
        <v>10</v>
      </c>
      <c r="AD73" s="658">
        <v>5</v>
      </c>
      <c r="AE73" s="656">
        <v>0</v>
      </c>
      <c r="AF73" s="658">
        <v>5</v>
      </c>
      <c r="AG73" s="656">
        <v>0</v>
      </c>
      <c r="AH73" s="654">
        <v>0</v>
      </c>
      <c r="AI73" s="658">
        <v>10</v>
      </c>
      <c r="AJ73" s="658">
        <v>3</v>
      </c>
      <c r="AK73" s="656">
        <v>0</v>
      </c>
      <c r="AL73" s="658">
        <v>10</v>
      </c>
      <c r="AM73" s="658">
        <v>10</v>
      </c>
      <c r="AN73" s="664">
        <f t="shared" si="68"/>
        <v>1</v>
      </c>
      <c r="AO73" s="664">
        <f t="shared" si="69"/>
        <v>1</v>
      </c>
      <c r="AP73" s="664">
        <f t="shared" si="70"/>
        <v>5</v>
      </c>
      <c r="AQ73" s="664">
        <f t="shared" si="71"/>
        <v>1</v>
      </c>
      <c r="AR73" s="664">
        <f t="shared" si="72"/>
        <v>3</v>
      </c>
      <c r="AS73" s="664">
        <f t="shared" si="73"/>
        <v>1</v>
      </c>
      <c r="AT73" s="664">
        <f t="shared" si="74"/>
        <v>1</v>
      </c>
      <c r="AU73" s="664">
        <f t="shared" si="75"/>
        <v>1</v>
      </c>
      <c r="AV73" s="664">
        <f t="shared" si="76"/>
        <v>1</v>
      </c>
      <c r="AW73" s="664">
        <f t="shared" si="77"/>
        <v>1</v>
      </c>
      <c r="AX73" s="664">
        <f t="shared" si="78"/>
        <v>1</v>
      </c>
      <c r="AY73" s="664">
        <f t="shared" si="79"/>
        <v>10</v>
      </c>
      <c r="AZ73" s="664">
        <f t="shared" si="80"/>
        <v>5</v>
      </c>
      <c r="BA73" s="664">
        <f t="shared" si="81"/>
        <v>1</v>
      </c>
      <c r="BB73" s="664">
        <f t="shared" si="82"/>
        <v>5</v>
      </c>
      <c r="BC73" s="664">
        <f t="shared" si="83"/>
        <v>1</v>
      </c>
      <c r="BD73" s="664">
        <f t="shared" si="84"/>
        <v>1</v>
      </c>
      <c r="BE73" s="664">
        <f t="shared" si="85"/>
        <v>10</v>
      </c>
      <c r="BF73" s="664">
        <f t="shared" si="86"/>
        <v>1</v>
      </c>
      <c r="BG73" s="664">
        <f t="shared" si="87"/>
        <v>1</v>
      </c>
      <c r="BH73" s="664">
        <f t="shared" si="88"/>
        <v>10</v>
      </c>
      <c r="BI73" s="1009">
        <f t="shared" si="89"/>
        <v>10</v>
      </c>
      <c r="BJ73" s="1020">
        <f t="shared" si="90"/>
        <v>4.9000000000000004</v>
      </c>
      <c r="BK73" s="931">
        <f t="shared" si="91"/>
        <v>2.6666666666666665</v>
      </c>
      <c r="BL73" s="931">
        <f t="shared" si="92"/>
        <v>1.5</v>
      </c>
      <c r="BM73" s="931">
        <f t="shared" si="93"/>
        <v>5.0400000000000009</v>
      </c>
      <c r="BN73" s="931">
        <f t="shared" si="94"/>
        <v>3.2666666666666671</v>
      </c>
      <c r="BO73" s="931">
        <f t="shared" si="95"/>
        <v>4</v>
      </c>
      <c r="BP73" s="1021">
        <f t="shared" si="96"/>
        <v>7.0000000000000009</v>
      </c>
      <c r="BQ73" s="1011">
        <f t="shared" si="97"/>
        <v>28.373333333333335</v>
      </c>
      <c r="BR73" s="668">
        <f t="shared" si="98"/>
        <v>70</v>
      </c>
      <c r="BS73" s="942"/>
      <c r="BT73" s="941"/>
      <c r="BU73" s="638" t="s">
        <v>1262</v>
      </c>
      <c r="BV73" s="1047" t="str">
        <f>VLOOKUP($B73,Tiers!$A:$K,11,FALSE)</f>
        <v>Tier 2</v>
      </c>
      <c r="BW73" s="670"/>
    </row>
    <row r="74" spans="1:75" ht="13.8" x14ac:dyDescent="0.3">
      <c r="A74" s="641">
        <v>15</v>
      </c>
      <c r="B74" s="574" t="s">
        <v>1119</v>
      </c>
      <c r="C74" s="574" t="s">
        <v>197</v>
      </c>
      <c r="D74" s="577" t="s">
        <v>768</v>
      </c>
      <c r="E74" s="32" t="s">
        <v>485</v>
      </c>
      <c r="F74" s="32" t="s">
        <v>1355</v>
      </c>
      <c r="G74" s="577">
        <v>1</v>
      </c>
      <c r="H74" s="577">
        <v>1</v>
      </c>
      <c r="I74" s="577" t="s">
        <v>1049</v>
      </c>
      <c r="J74" s="276" t="s">
        <v>824</v>
      </c>
      <c r="K74" s="276" t="s">
        <v>824</v>
      </c>
      <c r="L74" s="276" t="s">
        <v>824</v>
      </c>
      <c r="M74" s="276" t="s">
        <v>824</v>
      </c>
      <c r="N74" s="580"/>
      <c r="O74" s="580"/>
      <c r="P74" s="580" t="s">
        <v>670</v>
      </c>
      <c r="Q74" s="573" t="str">
        <f t="shared" si="67"/>
        <v>M17</v>
      </c>
      <c r="R74" s="656">
        <v>0</v>
      </c>
      <c r="S74" s="657">
        <v>4725</v>
      </c>
      <c r="T74" s="656">
        <v>0</v>
      </c>
      <c r="U74" s="651">
        <v>0</v>
      </c>
      <c r="V74" s="652">
        <v>1.44</v>
      </c>
      <c r="W74" s="656">
        <v>0</v>
      </c>
      <c r="X74" s="656">
        <v>0</v>
      </c>
      <c r="Y74" s="656">
        <v>0</v>
      </c>
      <c r="Z74" s="657">
        <v>10</v>
      </c>
      <c r="AA74" s="654">
        <v>0</v>
      </c>
      <c r="AB74" s="656">
        <v>0</v>
      </c>
      <c r="AC74" s="657">
        <v>5</v>
      </c>
      <c r="AD74" s="656">
        <v>0</v>
      </c>
      <c r="AE74" s="656">
        <v>0</v>
      </c>
      <c r="AF74" s="656">
        <v>0</v>
      </c>
      <c r="AG74" s="656">
        <v>0</v>
      </c>
      <c r="AH74" s="654">
        <v>0</v>
      </c>
      <c r="AI74" s="656">
        <v>0</v>
      </c>
      <c r="AJ74" s="657">
        <v>4</v>
      </c>
      <c r="AK74" s="657">
        <v>10</v>
      </c>
      <c r="AL74" s="657">
        <v>10</v>
      </c>
      <c r="AM74" s="654">
        <v>0</v>
      </c>
      <c r="AN74" s="664">
        <f t="shared" si="68"/>
        <v>1</v>
      </c>
      <c r="AO74" s="664">
        <f t="shared" si="69"/>
        <v>6</v>
      </c>
      <c r="AP74" s="664">
        <f t="shared" si="70"/>
        <v>1</v>
      </c>
      <c r="AQ74" s="664">
        <f t="shared" si="71"/>
        <v>1</v>
      </c>
      <c r="AR74" s="664">
        <f t="shared" si="72"/>
        <v>9</v>
      </c>
      <c r="AS74" s="664">
        <f t="shared" si="73"/>
        <v>1</v>
      </c>
      <c r="AT74" s="664">
        <f t="shared" si="74"/>
        <v>1</v>
      </c>
      <c r="AU74" s="664">
        <f t="shared" si="75"/>
        <v>1</v>
      </c>
      <c r="AV74" s="664">
        <f t="shared" si="76"/>
        <v>10</v>
      </c>
      <c r="AW74" s="664">
        <f t="shared" si="77"/>
        <v>1</v>
      </c>
      <c r="AX74" s="664">
        <f t="shared" si="78"/>
        <v>1</v>
      </c>
      <c r="AY74" s="664">
        <f t="shared" si="79"/>
        <v>5</v>
      </c>
      <c r="AZ74" s="664">
        <f t="shared" si="80"/>
        <v>1</v>
      </c>
      <c r="BA74" s="664">
        <f t="shared" si="81"/>
        <v>1</v>
      </c>
      <c r="BB74" s="664">
        <f t="shared" si="82"/>
        <v>1</v>
      </c>
      <c r="BC74" s="664">
        <f t="shared" si="83"/>
        <v>1</v>
      </c>
      <c r="BD74" s="664">
        <f t="shared" si="84"/>
        <v>1</v>
      </c>
      <c r="BE74" s="664">
        <f t="shared" si="85"/>
        <v>1</v>
      </c>
      <c r="BF74" s="664">
        <f t="shared" si="86"/>
        <v>3</v>
      </c>
      <c r="BG74" s="664">
        <f t="shared" si="87"/>
        <v>10</v>
      </c>
      <c r="BH74" s="664">
        <f t="shared" si="88"/>
        <v>10</v>
      </c>
      <c r="BI74" s="1009">
        <f t="shared" si="89"/>
        <v>1</v>
      </c>
      <c r="BJ74" s="1020">
        <f t="shared" si="90"/>
        <v>5.6</v>
      </c>
      <c r="BK74" s="931">
        <f t="shared" si="91"/>
        <v>5.8666666666666671</v>
      </c>
      <c r="BL74" s="931">
        <f t="shared" si="92"/>
        <v>1.5</v>
      </c>
      <c r="BM74" s="931">
        <f t="shared" si="93"/>
        <v>5.0400000000000009</v>
      </c>
      <c r="BN74" s="931">
        <f t="shared" si="94"/>
        <v>1.4000000000000001</v>
      </c>
      <c r="BO74" s="931">
        <f t="shared" si="95"/>
        <v>1.666666666666667</v>
      </c>
      <c r="BP74" s="1021">
        <f t="shared" si="96"/>
        <v>7.0000000000000009</v>
      </c>
      <c r="BQ74" s="1011">
        <f t="shared" si="97"/>
        <v>28.073333333333334</v>
      </c>
      <c r="BR74" s="668">
        <f t="shared" si="98"/>
        <v>71</v>
      </c>
      <c r="BS74" s="944" t="s">
        <v>376</v>
      </c>
      <c r="BT74" s="941" t="s">
        <v>376</v>
      </c>
      <c r="BU74" s="638" t="s">
        <v>1262</v>
      </c>
      <c r="BV74" s="1048" t="str">
        <f>VLOOKUP($B74,Tiers!$A:$K,11,FALSE)</f>
        <v>Tier 4</v>
      </c>
      <c r="BW74" s="670"/>
    </row>
    <row r="75" spans="1:75" x14ac:dyDescent="0.25">
      <c r="A75" s="640">
        <v>108</v>
      </c>
      <c r="B75" s="600" t="s">
        <v>943</v>
      </c>
      <c r="C75" s="574" t="s">
        <v>360</v>
      </c>
      <c r="D75" s="584" t="s">
        <v>1655</v>
      </c>
      <c r="E75" s="576" t="s">
        <v>880</v>
      </c>
      <c r="F75" s="576" t="s">
        <v>881</v>
      </c>
      <c r="G75" s="578">
        <v>20471.3004425857</v>
      </c>
      <c r="H75" s="579">
        <f>G75/5280</f>
        <v>3.8771402353382007</v>
      </c>
      <c r="I75" s="576" t="s">
        <v>343</v>
      </c>
      <c r="J75" s="580" t="s">
        <v>824</v>
      </c>
      <c r="K75" s="580"/>
      <c r="L75" s="580"/>
      <c r="M75" s="580"/>
      <c r="N75" s="581" t="s">
        <v>262</v>
      </c>
      <c r="O75" s="581"/>
      <c r="P75" s="583" t="s">
        <v>779</v>
      </c>
      <c r="Q75" s="573" t="str">
        <f t="shared" si="67"/>
        <v>C8</v>
      </c>
      <c r="R75" s="656">
        <v>0</v>
      </c>
      <c r="S75" s="656">
        <v>0</v>
      </c>
      <c r="T75" s="656">
        <v>0</v>
      </c>
      <c r="U75" s="651">
        <v>0</v>
      </c>
      <c r="V75" s="651">
        <v>0</v>
      </c>
      <c r="W75" s="656">
        <v>0</v>
      </c>
      <c r="X75" s="656">
        <v>0</v>
      </c>
      <c r="Y75" s="656">
        <v>0</v>
      </c>
      <c r="Z75" s="656">
        <v>0</v>
      </c>
      <c r="AA75" s="654">
        <v>0</v>
      </c>
      <c r="AB75" s="656">
        <v>0</v>
      </c>
      <c r="AC75" s="656">
        <v>0</v>
      </c>
      <c r="AD75" s="656">
        <v>0</v>
      </c>
      <c r="AE75" s="657">
        <v>10</v>
      </c>
      <c r="AF75" s="657">
        <v>10</v>
      </c>
      <c r="AG75" s="656">
        <v>0</v>
      </c>
      <c r="AH75" s="654">
        <v>0</v>
      </c>
      <c r="AI75" s="656">
        <v>0</v>
      </c>
      <c r="AJ75" s="657">
        <v>4</v>
      </c>
      <c r="AK75" s="657">
        <v>10</v>
      </c>
      <c r="AL75" s="657">
        <v>10</v>
      </c>
      <c r="AM75" s="655">
        <v>10</v>
      </c>
      <c r="AN75" s="664">
        <f t="shared" si="68"/>
        <v>1</v>
      </c>
      <c r="AO75" s="664">
        <f t="shared" si="69"/>
        <v>1</v>
      </c>
      <c r="AP75" s="664">
        <f t="shared" si="70"/>
        <v>1</v>
      </c>
      <c r="AQ75" s="664">
        <f t="shared" si="71"/>
        <v>1</v>
      </c>
      <c r="AR75" s="664">
        <f t="shared" si="72"/>
        <v>1</v>
      </c>
      <c r="AS75" s="664">
        <f t="shared" si="73"/>
        <v>1</v>
      </c>
      <c r="AT75" s="664">
        <f t="shared" si="74"/>
        <v>1</v>
      </c>
      <c r="AU75" s="664">
        <f t="shared" si="75"/>
        <v>1</v>
      </c>
      <c r="AV75" s="664">
        <f t="shared" si="76"/>
        <v>1</v>
      </c>
      <c r="AW75" s="664">
        <f t="shared" si="77"/>
        <v>1</v>
      </c>
      <c r="AX75" s="664">
        <f t="shared" si="78"/>
        <v>1</v>
      </c>
      <c r="AY75" s="664">
        <f t="shared" si="79"/>
        <v>1</v>
      </c>
      <c r="AZ75" s="664">
        <f t="shared" si="80"/>
        <v>1</v>
      </c>
      <c r="BA75" s="664">
        <f t="shared" si="81"/>
        <v>10</v>
      </c>
      <c r="BB75" s="664">
        <f t="shared" si="82"/>
        <v>10</v>
      </c>
      <c r="BC75" s="664">
        <f t="shared" si="83"/>
        <v>1</v>
      </c>
      <c r="BD75" s="664">
        <f t="shared" si="84"/>
        <v>1</v>
      </c>
      <c r="BE75" s="664">
        <f t="shared" si="85"/>
        <v>1</v>
      </c>
      <c r="BF75" s="664">
        <f t="shared" si="86"/>
        <v>3</v>
      </c>
      <c r="BG75" s="664">
        <f t="shared" si="87"/>
        <v>10</v>
      </c>
      <c r="BH75" s="664">
        <f t="shared" si="88"/>
        <v>10</v>
      </c>
      <c r="BI75" s="1009">
        <f t="shared" si="89"/>
        <v>10</v>
      </c>
      <c r="BJ75" s="1020">
        <f t="shared" si="90"/>
        <v>2.1</v>
      </c>
      <c r="BK75" s="931">
        <f t="shared" si="91"/>
        <v>1.6</v>
      </c>
      <c r="BL75" s="931">
        <f t="shared" si="92"/>
        <v>1.5</v>
      </c>
      <c r="BM75" s="931">
        <f t="shared" si="93"/>
        <v>1.4000000000000001</v>
      </c>
      <c r="BN75" s="931">
        <f t="shared" si="94"/>
        <v>9.8000000000000007</v>
      </c>
      <c r="BO75" s="931">
        <f t="shared" si="95"/>
        <v>1.666666666666667</v>
      </c>
      <c r="BP75" s="1021">
        <f t="shared" si="96"/>
        <v>10</v>
      </c>
      <c r="BQ75" s="1011">
        <f t="shared" si="97"/>
        <v>28.06666666666667</v>
      </c>
      <c r="BR75" s="668">
        <f t="shared" si="98"/>
        <v>72</v>
      </c>
      <c r="BS75" s="942">
        <v>37</v>
      </c>
      <c r="BT75" s="943" t="s">
        <v>1273</v>
      </c>
      <c r="BU75" s="638" t="s">
        <v>1262</v>
      </c>
      <c r="BV75" s="1044" t="str">
        <f>VLOOKUP($B75,Tiers!$A:$K,11,FALSE)</f>
        <v>AFD</v>
      </c>
      <c r="BW75" s="622" t="s">
        <v>347</v>
      </c>
    </row>
    <row r="76" spans="1:75" x14ac:dyDescent="0.25">
      <c r="A76" s="640">
        <v>67</v>
      </c>
      <c r="B76" s="600" t="s">
        <v>948</v>
      </c>
      <c r="C76" s="574" t="s">
        <v>37</v>
      </c>
      <c r="D76" s="576" t="s">
        <v>1029</v>
      </c>
      <c r="E76" s="576" t="s">
        <v>536</v>
      </c>
      <c r="F76" s="576" t="s">
        <v>1030</v>
      </c>
      <c r="G76" s="578">
        <v>2877.3665230000001</v>
      </c>
      <c r="H76" s="579">
        <f>G76/5280</f>
        <v>0.5449557808712121</v>
      </c>
      <c r="I76" s="576" t="s">
        <v>1481</v>
      </c>
      <c r="J76" s="580" t="s">
        <v>824</v>
      </c>
      <c r="K76" s="580" t="s">
        <v>824</v>
      </c>
      <c r="L76" s="580" t="s">
        <v>824</v>
      </c>
      <c r="M76" s="580"/>
      <c r="N76" s="581">
        <v>2</v>
      </c>
      <c r="O76" s="581">
        <v>2</v>
      </c>
      <c r="P76" s="583" t="s">
        <v>670</v>
      </c>
      <c r="Q76" s="573" t="str">
        <f t="shared" si="67"/>
        <v>M115</v>
      </c>
      <c r="R76" s="656">
        <v>0</v>
      </c>
      <c r="S76" s="656">
        <v>0</v>
      </c>
      <c r="T76" s="656">
        <v>0</v>
      </c>
      <c r="U76" s="651">
        <v>0</v>
      </c>
      <c r="V76" s="652">
        <v>1.28</v>
      </c>
      <c r="W76" s="656">
        <v>0</v>
      </c>
      <c r="X76" s="656">
        <v>0</v>
      </c>
      <c r="Y76" s="657">
        <v>10</v>
      </c>
      <c r="Z76" s="656">
        <v>0</v>
      </c>
      <c r="AA76" s="654">
        <v>0</v>
      </c>
      <c r="AB76" s="656">
        <v>0</v>
      </c>
      <c r="AC76" s="656">
        <v>0</v>
      </c>
      <c r="AD76" s="656">
        <v>0</v>
      </c>
      <c r="AE76" s="656">
        <v>0</v>
      </c>
      <c r="AF76" s="656">
        <v>0</v>
      </c>
      <c r="AG76" s="657">
        <v>10</v>
      </c>
      <c r="AH76" s="654">
        <v>0</v>
      </c>
      <c r="AI76" s="656">
        <v>0</v>
      </c>
      <c r="AJ76" s="657">
        <v>7</v>
      </c>
      <c r="AK76" s="656">
        <v>0</v>
      </c>
      <c r="AL76" s="656">
        <v>0</v>
      </c>
      <c r="AM76" s="654">
        <v>0</v>
      </c>
      <c r="AN76" s="664">
        <f t="shared" si="68"/>
        <v>1</v>
      </c>
      <c r="AO76" s="664">
        <f t="shared" si="69"/>
        <v>1</v>
      </c>
      <c r="AP76" s="664">
        <f t="shared" si="70"/>
        <v>1</v>
      </c>
      <c r="AQ76" s="664">
        <f t="shared" si="71"/>
        <v>1</v>
      </c>
      <c r="AR76" s="664">
        <f t="shared" si="72"/>
        <v>8</v>
      </c>
      <c r="AS76" s="664">
        <f t="shared" si="73"/>
        <v>1</v>
      </c>
      <c r="AT76" s="664">
        <f t="shared" si="74"/>
        <v>1</v>
      </c>
      <c r="AU76" s="664">
        <f t="shared" si="75"/>
        <v>10</v>
      </c>
      <c r="AV76" s="664">
        <f t="shared" si="76"/>
        <v>1</v>
      </c>
      <c r="AW76" s="664">
        <f t="shared" si="77"/>
        <v>1</v>
      </c>
      <c r="AX76" s="664">
        <f t="shared" si="78"/>
        <v>1</v>
      </c>
      <c r="AY76" s="664">
        <f t="shared" si="79"/>
        <v>1</v>
      </c>
      <c r="AZ76" s="664">
        <f t="shared" si="80"/>
        <v>1</v>
      </c>
      <c r="BA76" s="664">
        <f t="shared" si="81"/>
        <v>1</v>
      </c>
      <c r="BB76" s="664">
        <f t="shared" si="82"/>
        <v>1</v>
      </c>
      <c r="BC76" s="664">
        <f t="shared" si="83"/>
        <v>10</v>
      </c>
      <c r="BD76" s="664">
        <f t="shared" si="84"/>
        <v>1</v>
      </c>
      <c r="BE76" s="664">
        <f t="shared" si="85"/>
        <v>1</v>
      </c>
      <c r="BF76" s="664">
        <f t="shared" si="86"/>
        <v>10</v>
      </c>
      <c r="BG76" s="664">
        <f t="shared" si="87"/>
        <v>1</v>
      </c>
      <c r="BH76" s="664">
        <f t="shared" si="88"/>
        <v>1</v>
      </c>
      <c r="BI76" s="1009">
        <f t="shared" si="89"/>
        <v>1</v>
      </c>
      <c r="BJ76" s="1020">
        <f t="shared" si="90"/>
        <v>2.1</v>
      </c>
      <c r="BK76" s="931">
        <f t="shared" si="91"/>
        <v>5.333333333333333</v>
      </c>
      <c r="BL76" s="931">
        <f t="shared" si="92"/>
        <v>8.25</v>
      </c>
      <c r="BM76" s="931">
        <f t="shared" si="93"/>
        <v>1.4000000000000001</v>
      </c>
      <c r="BN76" s="931">
        <f t="shared" si="94"/>
        <v>5.6000000000000005</v>
      </c>
      <c r="BO76" s="931">
        <f t="shared" si="95"/>
        <v>4</v>
      </c>
      <c r="BP76" s="1021">
        <f t="shared" si="96"/>
        <v>1</v>
      </c>
      <c r="BQ76" s="1011">
        <f t="shared" si="97"/>
        <v>27.683333333333334</v>
      </c>
      <c r="BR76" s="668">
        <f t="shared" si="98"/>
        <v>73</v>
      </c>
      <c r="BS76" s="942" t="s">
        <v>376</v>
      </c>
      <c r="BT76" s="941" t="s">
        <v>376</v>
      </c>
      <c r="BU76" s="638" t="s">
        <v>1262</v>
      </c>
      <c r="BV76" s="1048" t="str">
        <f>VLOOKUP($B76,Tiers!$A:$K,11,FALSE)</f>
        <v>Tier 4</v>
      </c>
      <c r="BW76" s="670"/>
    </row>
    <row r="77" spans="1:75" x14ac:dyDescent="0.25">
      <c r="A77" s="640">
        <v>70</v>
      </c>
      <c r="B77" s="600" t="s">
        <v>951</v>
      </c>
      <c r="C77" s="574" t="s">
        <v>37</v>
      </c>
      <c r="D77" s="576" t="s">
        <v>1043</v>
      </c>
      <c r="E77" s="576" t="s">
        <v>1044</v>
      </c>
      <c r="F77" s="576" t="s">
        <v>1045</v>
      </c>
      <c r="G77" s="578">
        <v>25368.936801</v>
      </c>
      <c r="H77" s="579">
        <f>G77/5280</f>
        <v>4.8047228789772731</v>
      </c>
      <c r="I77" s="576" t="s">
        <v>1643</v>
      </c>
      <c r="J77" s="580"/>
      <c r="K77" s="580" t="s">
        <v>824</v>
      </c>
      <c r="L77" s="580" t="s">
        <v>824</v>
      </c>
      <c r="M77" s="580"/>
      <c r="N77" s="582" t="s">
        <v>262</v>
      </c>
      <c r="O77" s="581" t="s">
        <v>262</v>
      </c>
      <c r="P77" s="583" t="s">
        <v>670</v>
      </c>
      <c r="Q77" s="573" t="str">
        <f t="shared" si="67"/>
        <v>M118</v>
      </c>
      <c r="R77" s="656">
        <v>0</v>
      </c>
      <c r="S77" s="656">
        <v>0</v>
      </c>
      <c r="T77" s="656">
        <v>0</v>
      </c>
      <c r="U77" s="652">
        <v>1.57</v>
      </c>
      <c r="V77" s="651">
        <v>0</v>
      </c>
      <c r="W77" s="656">
        <v>0</v>
      </c>
      <c r="X77" s="656">
        <v>0</v>
      </c>
      <c r="Y77" s="656">
        <v>0</v>
      </c>
      <c r="Z77" s="657">
        <v>10</v>
      </c>
      <c r="AA77" s="654">
        <v>0</v>
      </c>
      <c r="AB77" s="657">
        <v>10</v>
      </c>
      <c r="AC77" s="656">
        <v>0</v>
      </c>
      <c r="AD77" s="657">
        <v>5</v>
      </c>
      <c r="AE77" s="657">
        <v>10</v>
      </c>
      <c r="AF77" s="656">
        <v>0</v>
      </c>
      <c r="AG77" s="656">
        <v>0</v>
      </c>
      <c r="AH77" s="654">
        <v>0</v>
      </c>
      <c r="AI77" s="656">
        <v>0</v>
      </c>
      <c r="AJ77" s="657">
        <v>7</v>
      </c>
      <c r="AK77" s="656">
        <v>0</v>
      </c>
      <c r="AL77" s="656">
        <v>0</v>
      </c>
      <c r="AM77" s="657">
        <v>10</v>
      </c>
      <c r="AN77" s="664">
        <f t="shared" si="68"/>
        <v>1</v>
      </c>
      <c r="AO77" s="664">
        <f t="shared" si="69"/>
        <v>1</v>
      </c>
      <c r="AP77" s="664">
        <f t="shared" si="70"/>
        <v>1</v>
      </c>
      <c r="AQ77" s="664">
        <f t="shared" si="71"/>
        <v>3</v>
      </c>
      <c r="AR77" s="664">
        <f t="shared" si="72"/>
        <v>1</v>
      </c>
      <c r="AS77" s="664">
        <f t="shared" si="73"/>
        <v>1</v>
      </c>
      <c r="AT77" s="664">
        <f t="shared" si="74"/>
        <v>1</v>
      </c>
      <c r="AU77" s="664">
        <f t="shared" si="75"/>
        <v>1</v>
      </c>
      <c r="AV77" s="664">
        <f t="shared" si="76"/>
        <v>10</v>
      </c>
      <c r="AW77" s="664">
        <f t="shared" si="77"/>
        <v>1</v>
      </c>
      <c r="AX77" s="664">
        <f t="shared" si="78"/>
        <v>10</v>
      </c>
      <c r="AY77" s="664">
        <f t="shared" si="79"/>
        <v>1</v>
      </c>
      <c r="AZ77" s="664">
        <f t="shared" si="80"/>
        <v>5</v>
      </c>
      <c r="BA77" s="664">
        <f t="shared" si="81"/>
        <v>10</v>
      </c>
      <c r="BB77" s="664">
        <f t="shared" si="82"/>
        <v>1</v>
      </c>
      <c r="BC77" s="664">
        <f t="shared" si="83"/>
        <v>1</v>
      </c>
      <c r="BD77" s="664">
        <f t="shared" si="84"/>
        <v>1</v>
      </c>
      <c r="BE77" s="664">
        <f t="shared" si="85"/>
        <v>1</v>
      </c>
      <c r="BF77" s="664">
        <f t="shared" si="86"/>
        <v>10</v>
      </c>
      <c r="BG77" s="664">
        <f t="shared" si="87"/>
        <v>1</v>
      </c>
      <c r="BH77" s="664">
        <f t="shared" si="88"/>
        <v>1</v>
      </c>
      <c r="BI77" s="1009">
        <f t="shared" si="89"/>
        <v>10</v>
      </c>
      <c r="BJ77" s="1020">
        <f t="shared" si="90"/>
        <v>2.1</v>
      </c>
      <c r="BK77" s="931">
        <f t="shared" si="91"/>
        <v>2.6666666666666665</v>
      </c>
      <c r="BL77" s="931">
        <f t="shared" si="92"/>
        <v>1.5</v>
      </c>
      <c r="BM77" s="931">
        <f t="shared" si="93"/>
        <v>7.5600000000000014</v>
      </c>
      <c r="BN77" s="931">
        <f t="shared" si="94"/>
        <v>5.6000000000000005</v>
      </c>
      <c r="BO77" s="931">
        <f t="shared" si="95"/>
        <v>4</v>
      </c>
      <c r="BP77" s="1021">
        <f t="shared" si="96"/>
        <v>4</v>
      </c>
      <c r="BQ77" s="1011">
        <f t="shared" si="97"/>
        <v>27.426666666666669</v>
      </c>
      <c r="BR77" s="668">
        <f t="shared" si="98"/>
        <v>74</v>
      </c>
      <c r="BS77" s="942" t="s">
        <v>376</v>
      </c>
      <c r="BT77" s="941" t="s">
        <v>376</v>
      </c>
      <c r="BU77" s="634" t="s">
        <v>1259</v>
      </c>
      <c r="BV77" s="1046" t="str">
        <f>VLOOKUP($B77,Tiers!$A:$K,11,FALSE)</f>
        <v>Tier 3</v>
      </c>
      <c r="BW77" s="590" t="s">
        <v>1370</v>
      </c>
    </row>
    <row r="78" spans="1:75" x14ac:dyDescent="0.25">
      <c r="A78" s="640">
        <v>57</v>
      </c>
      <c r="B78" s="600" t="s">
        <v>930</v>
      </c>
      <c r="C78" s="574" t="s">
        <v>37</v>
      </c>
      <c r="D78" s="576" t="s">
        <v>1070</v>
      </c>
      <c r="E78" s="576" t="s">
        <v>1071</v>
      </c>
      <c r="F78" s="576" t="s">
        <v>1072</v>
      </c>
      <c r="G78" s="578">
        <v>14745.011225</v>
      </c>
      <c r="H78" s="579">
        <f>G78/5280</f>
        <v>2.7926157623106063</v>
      </c>
      <c r="I78" s="576" t="s">
        <v>1481</v>
      </c>
      <c r="J78" s="580" t="s">
        <v>824</v>
      </c>
      <c r="K78" s="580" t="s">
        <v>824</v>
      </c>
      <c r="L78" s="580" t="s">
        <v>824</v>
      </c>
      <c r="M78" s="580"/>
      <c r="N78" s="581">
        <v>2</v>
      </c>
      <c r="O78" s="581">
        <v>2</v>
      </c>
      <c r="P78" s="583" t="s">
        <v>670</v>
      </c>
      <c r="Q78" s="573" t="str">
        <f t="shared" si="67"/>
        <v>M102</v>
      </c>
      <c r="R78" s="656">
        <v>0</v>
      </c>
      <c r="S78" s="657">
        <v>3490</v>
      </c>
      <c r="T78" s="656">
        <v>0</v>
      </c>
      <c r="U78" s="652">
        <v>1.57</v>
      </c>
      <c r="V78" s="652">
        <v>0.54</v>
      </c>
      <c r="W78" s="656">
        <v>0</v>
      </c>
      <c r="X78" s="656">
        <v>0</v>
      </c>
      <c r="Y78" s="656">
        <v>0</v>
      </c>
      <c r="Z78" s="656">
        <v>0</v>
      </c>
      <c r="AA78" s="656">
        <v>0</v>
      </c>
      <c r="AB78" s="656">
        <v>0</v>
      </c>
      <c r="AC78" s="657">
        <v>10</v>
      </c>
      <c r="AD78" s="656">
        <v>0</v>
      </c>
      <c r="AE78" s="657">
        <v>10</v>
      </c>
      <c r="AF78" s="656">
        <v>0</v>
      </c>
      <c r="AG78" s="657">
        <v>10</v>
      </c>
      <c r="AH78" s="656">
        <v>0</v>
      </c>
      <c r="AI78" s="656">
        <v>0</v>
      </c>
      <c r="AJ78" s="657">
        <v>5</v>
      </c>
      <c r="AK78" s="656">
        <v>0</v>
      </c>
      <c r="AL78" s="656">
        <v>0</v>
      </c>
      <c r="AM78" s="656">
        <v>0</v>
      </c>
      <c r="AN78" s="664">
        <f t="shared" si="68"/>
        <v>1</v>
      </c>
      <c r="AO78" s="664">
        <f t="shared" si="69"/>
        <v>5</v>
      </c>
      <c r="AP78" s="664">
        <f t="shared" si="70"/>
        <v>1</v>
      </c>
      <c r="AQ78" s="664">
        <f t="shared" si="71"/>
        <v>3</v>
      </c>
      <c r="AR78" s="664">
        <f t="shared" si="72"/>
        <v>3</v>
      </c>
      <c r="AS78" s="664">
        <f t="shared" si="73"/>
        <v>1</v>
      </c>
      <c r="AT78" s="664">
        <f t="shared" si="74"/>
        <v>1</v>
      </c>
      <c r="AU78" s="664">
        <f t="shared" si="75"/>
        <v>1</v>
      </c>
      <c r="AV78" s="664">
        <f t="shared" si="76"/>
        <v>1</v>
      </c>
      <c r="AW78" s="664">
        <f t="shared" si="77"/>
        <v>1</v>
      </c>
      <c r="AX78" s="664">
        <f t="shared" si="78"/>
        <v>1</v>
      </c>
      <c r="AY78" s="664">
        <f t="shared" si="79"/>
        <v>10</v>
      </c>
      <c r="AZ78" s="664">
        <f t="shared" si="80"/>
        <v>1</v>
      </c>
      <c r="BA78" s="664">
        <f t="shared" si="81"/>
        <v>10</v>
      </c>
      <c r="BB78" s="664">
        <f t="shared" si="82"/>
        <v>1</v>
      </c>
      <c r="BC78" s="664">
        <f t="shared" si="83"/>
        <v>10</v>
      </c>
      <c r="BD78" s="664">
        <f t="shared" si="84"/>
        <v>1</v>
      </c>
      <c r="BE78" s="664">
        <f t="shared" si="85"/>
        <v>1</v>
      </c>
      <c r="BF78" s="664">
        <f t="shared" si="86"/>
        <v>5</v>
      </c>
      <c r="BG78" s="664">
        <f t="shared" si="87"/>
        <v>1</v>
      </c>
      <c r="BH78" s="664">
        <f t="shared" si="88"/>
        <v>1</v>
      </c>
      <c r="BI78" s="1009">
        <f t="shared" si="89"/>
        <v>1</v>
      </c>
      <c r="BJ78" s="1020">
        <f t="shared" si="90"/>
        <v>4.9000000000000004</v>
      </c>
      <c r="BK78" s="931">
        <f t="shared" si="91"/>
        <v>3.7333333333333334</v>
      </c>
      <c r="BL78" s="931">
        <f t="shared" si="92"/>
        <v>1.5</v>
      </c>
      <c r="BM78" s="931">
        <f t="shared" si="93"/>
        <v>3.92</v>
      </c>
      <c r="BN78" s="931">
        <f t="shared" si="94"/>
        <v>9.8000000000000007</v>
      </c>
      <c r="BO78" s="931">
        <f t="shared" si="95"/>
        <v>2.3333333333333335</v>
      </c>
      <c r="BP78" s="1021">
        <f t="shared" si="96"/>
        <v>1</v>
      </c>
      <c r="BQ78" s="1011">
        <f t="shared" si="97"/>
        <v>27.186666666666664</v>
      </c>
      <c r="BR78" s="668">
        <f t="shared" si="98"/>
        <v>75</v>
      </c>
      <c r="BS78" s="942" t="s">
        <v>376</v>
      </c>
      <c r="BT78" s="941" t="s">
        <v>376</v>
      </c>
      <c r="BU78" s="634" t="s">
        <v>1259</v>
      </c>
      <c r="BV78" s="1048" t="str">
        <f>VLOOKUP($B78,Tiers!$A:$K,11,FALSE)</f>
        <v>Tier 4</v>
      </c>
      <c r="BW78" s="670"/>
    </row>
    <row r="79" spans="1:75" x14ac:dyDescent="0.25">
      <c r="A79" s="640">
        <v>69</v>
      </c>
      <c r="B79" s="600" t="s">
        <v>950</v>
      </c>
      <c r="C79" s="574" t="s">
        <v>37</v>
      </c>
      <c r="D79" s="576" t="s">
        <v>1040</v>
      </c>
      <c r="E79" s="576" t="s">
        <v>1041</v>
      </c>
      <c r="F79" s="576" t="s">
        <v>1042</v>
      </c>
      <c r="G79" s="578">
        <v>10085.998083</v>
      </c>
      <c r="H79" s="579">
        <f>G79/5280</f>
        <v>1.9102269096590909</v>
      </c>
      <c r="I79" s="576" t="s">
        <v>1643</v>
      </c>
      <c r="J79" s="580"/>
      <c r="K79" s="580" t="s">
        <v>824</v>
      </c>
      <c r="L79" s="580" t="s">
        <v>824</v>
      </c>
      <c r="M79" s="580"/>
      <c r="N79" s="582" t="s">
        <v>262</v>
      </c>
      <c r="O79" s="581" t="s">
        <v>262</v>
      </c>
      <c r="P79" s="583" t="s">
        <v>670</v>
      </c>
      <c r="Q79" s="573" t="str">
        <f t="shared" si="67"/>
        <v>M117</v>
      </c>
      <c r="R79" s="656">
        <v>0</v>
      </c>
      <c r="S79" s="656">
        <v>0</v>
      </c>
      <c r="T79" s="656">
        <v>0</v>
      </c>
      <c r="U79" s="651">
        <v>0</v>
      </c>
      <c r="V79" s="651">
        <v>0</v>
      </c>
      <c r="W79" s="656">
        <v>0</v>
      </c>
      <c r="X79" s="656">
        <v>0</v>
      </c>
      <c r="Y79" s="656">
        <v>0</v>
      </c>
      <c r="Z79" s="657">
        <v>10</v>
      </c>
      <c r="AA79" s="656">
        <v>0</v>
      </c>
      <c r="AB79" s="657">
        <v>10</v>
      </c>
      <c r="AC79" s="656">
        <v>0</v>
      </c>
      <c r="AD79" s="656">
        <v>0</v>
      </c>
      <c r="AE79" s="657">
        <v>10</v>
      </c>
      <c r="AF79" s="656">
        <v>0</v>
      </c>
      <c r="AG79" s="656">
        <v>0</v>
      </c>
      <c r="AH79" s="656">
        <v>0</v>
      </c>
      <c r="AI79" s="656">
        <v>0</v>
      </c>
      <c r="AJ79" s="657">
        <v>5</v>
      </c>
      <c r="AK79" s="656">
        <v>0</v>
      </c>
      <c r="AL79" s="656">
        <v>0</v>
      </c>
      <c r="AM79" s="657">
        <v>10</v>
      </c>
      <c r="AN79" s="664">
        <f t="shared" si="68"/>
        <v>1</v>
      </c>
      <c r="AO79" s="664">
        <f t="shared" si="69"/>
        <v>1</v>
      </c>
      <c r="AP79" s="664">
        <f t="shared" si="70"/>
        <v>1</v>
      </c>
      <c r="AQ79" s="664">
        <f t="shared" si="71"/>
        <v>1</v>
      </c>
      <c r="AR79" s="664">
        <f t="shared" si="72"/>
        <v>1</v>
      </c>
      <c r="AS79" s="664">
        <f t="shared" si="73"/>
        <v>1</v>
      </c>
      <c r="AT79" s="664">
        <f t="shared" si="74"/>
        <v>1</v>
      </c>
      <c r="AU79" s="664">
        <f t="shared" si="75"/>
        <v>1</v>
      </c>
      <c r="AV79" s="664">
        <f t="shared" si="76"/>
        <v>10</v>
      </c>
      <c r="AW79" s="664">
        <f t="shared" si="77"/>
        <v>1</v>
      </c>
      <c r="AX79" s="664">
        <f t="shared" si="78"/>
        <v>10</v>
      </c>
      <c r="AY79" s="664">
        <f t="shared" si="79"/>
        <v>1</v>
      </c>
      <c r="AZ79" s="664">
        <f t="shared" si="80"/>
        <v>1</v>
      </c>
      <c r="BA79" s="664">
        <f t="shared" si="81"/>
        <v>10</v>
      </c>
      <c r="BB79" s="664">
        <f t="shared" si="82"/>
        <v>1</v>
      </c>
      <c r="BC79" s="664">
        <f t="shared" si="83"/>
        <v>1</v>
      </c>
      <c r="BD79" s="664">
        <f t="shared" si="84"/>
        <v>1</v>
      </c>
      <c r="BE79" s="664">
        <f t="shared" si="85"/>
        <v>1</v>
      </c>
      <c r="BF79" s="664">
        <f t="shared" si="86"/>
        <v>5</v>
      </c>
      <c r="BG79" s="664">
        <f t="shared" si="87"/>
        <v>1</v>
      </c>
      <c r="BH79" s="664">
        <f t="shared" si="88"/>
        <v>1</v>
      </c>
      <c r="BI79" s="1009">
        <f t="shared" si="89"/>
        <v>10</v>
      </c>
      <c r="BJ79" s="1020">
        <f t="shared" si="90"/>
        <v>2.1</v>
      </c>
      <c r="BK79" s="931">
        <f t="shared" si="91"/>
        <v>1.6</v>
      </c>
      <c r="BL79" s="931">
        <f t="shared" si="92"/>
        <v>1.5</v>
      </c>
      <c r="BM79" s="931">
        <f t="shared" si="93"/>
        <v>6.44</v>
      </c>
      <c r="BN79" s="931">
        <f t="shared" si="94"/>
        <v>5.6000000000000005</v>
      </c>
      <c r="BO79" s="931">
        <f t="shared" si="95"/>
        <v>2.3333333333333335</v>
      </c>
      <c r="BP79" s="1021">
        <f t="shared" si="96"/>
        <v>4</v>
      </c>
      <c r="BQ79" s="1011">
        <f t="shared" si="97"/>
        <v>23.573333333333334</v>
      </c>
      <c r="BR79" s="668">
        <f t="shared" si="98"/>
        <v>76</v>
      </c>
      <c r="BS79" s="942" t="s">
        <v>376</v>
      </c>
      <c r="BT79" s="941" t="s">
        <v>376</v>
      </c>
      <c r="BU79" s="634" t="s">
        <v>1259</v>
      </c>
      <c r="BV79" s="1046" t="str">
        <f>VLOOKUP($B79,Tiers!$A:$K,11,FALSE)</f>
        <v>Tier 3</v>
      </c>
      <c r="BW79" s="590" t="s">
        <v>1370</v>
      </c>
    </row>
    <row r="80" spans="1:75" ht="13.8" x14ac:dyDescent="0.3">
      <c r="A80" s="641">
        <v>13</v>
      </c>
      <c r="B80" s="574" t="s">
        <v>1117</v>
      </c>
      <c r="C80" s="574" t="s">
        <v>197</v>
      </c>
      <c r="D80" s="577" t="s">
        <v>766</v>
      </c>
      <c r="E80" s="32" t="s">
        <v>878</v>
      </c>
      <c r="F80" s="32" t="s">
        <v>727</v>
      </c>
      <c r="G80" s="577">
        <v>1</v>
      </c>
      <c r="H80" s="577">
        <v>1</v>
      </c>
      <c r="I80" s="577" t="s">
        <v>1049</v>
      </c>
      <c r="J80" s="276" t="s">
        <v>824</v>
      </c>
      <c r="K80" s="276" t="s">
        <v>824</v>
      </c>
      <c r="L80" s="276" t="s">
        <v>824</v>
      </c>
      <c r="M80" s="276" t="s">
        <v>824</v>
      </c>
      <c r="N80" s="580"/>
      <c r="O80" s="580"/>
      <c r="P80" s="580" t="s">
        <v>670</v>
      </c>
      <c r="Q80" s="573" t="str">
        <f t="shared" si="67"/>
        <v>M15</v>
      </c>
      <c r="R80" s="656">
        <v>0</v>
      </c>
      <c r="S80" s="657">
        <v>985</v>
      </c>
      <c r="T80" s="656">
        <v>0</v>
      </c>
      <c r="U80" s="651">
        <v>0</v>
      </c>
      <c r="V80" s="652">
        <v>0.91</v>
      </c>
      <c r="W80" s="656">
        <v>0</v>
      </c>
      <c r="X80" s="656">
        <v>0</v>
      </c>
      <c r="Y80" s="656">
        <v>0</v>
      </c>
      <c r="Z80" s="657">
        <v>10</v>
      </c>
      <c r="AA80" s="656">
        <v>0</v>
      </c>
      <c r="AB80" s="656">
        <v>0</v>
      </c>
      <c r="AC80" s="657">
        <v>5</v>
      </c>
      <c r="AD80" s="656">
        <v>0</v>
      </c>
      <c r="AE80" s="656">
        <v>0</v>
      </c>
      <c r="AF80" s="656">
        <v>0</v>
      </c>
      <c r="AG80" s="656">
        <v>0</v>
      </c>
      <c r="AH80" s="654">
        <v>0</v>
      </c>
      <c r="AI80" s="654">
        <v>0</v>
      </c>
      <c r="AJ80" s="657">
        <v>4</v>
      </c>
      <c r="AK80" s="657">
        <v>10</v>
      </c>
      <c r="AL80" s="657">
        <v>10</v>
      </c>
      <c r="AM80" s="656">
        <v>0</v>
      </c>
      <c r="AN80" s="664">
        <f t="shared" si="68"/>
        <v>1</v>
      </c>
      <c r="AO80" s="664">
        <f t="shared" si="69"/>
        <v>1</v>
      </c>
      <c r="AP80" s="664">
        <f t="shared" si="70"/>
        <v>1</v>
      </c>
      <c r="AQ80" s="664">
        <f t="shared" si="71"/>
        <v>1</v>
      </c>
      <c r="AR80" s="664">
        <f t="shared" si="72"/>
        <v>6</v>
      </c>
      <c r="AS80" s="664">
        <f t="shared" si="73"/>
        <v>1</v>
      </c>
      <c r="AT80" s="664">
        <f t="shared" si="74"/>
        <v>1</v>
      </c>
      <c r="AU80" s="664">
        <f t="shared" si="75"/>
        <v>1</v>
      </c>
      <c r="AV80" s="664">
        <f t="shared" si="76"/>
        <v>10</v>
      </c>
      <c r="AW80" s="664">
        <f t="shared" si="77"/>
        <v>1</v>
      </c>
      <c r="AX80" s="664">
        <f t="shared" si="78"/>
        <v>1</v>
      </c>
      <c r="AY80" s="664">
        <f t="shared" si="79"/>
        <v>5</v>
      </c>
      <c r="AZ80" s="664">
        <f t="shared" si="80"/>
        <v>1</v>
      </c>
      <c r="BA80" s="664">
        <f t="shared" si="81"/>
        <v>1</v>
      </c>
      <c r="BB80" s="664">
        <f t="shared" si="82"/>
        <v>1</v>
      </c>
      <c r="BC80" s="664">
        <f t="shared" si="83"/>
        <v>1</v>
      </c>
      <c r="BD80" s="664">
        <f t="shared" si="84"/>
        <v>1</v>
      </c>
      <c r="BE80" s="664">
        <f t="shared" si="85"/>
        <v>1</v>
      </c>
      <c r="BF80" s="664">
        <f t="shared" si="86"/>
        <v>3</v>
      </c>
      <c r="BG80" s="664">
        <f t="shared" si="87"/>
        <v>10</v>
      </c>
      <c r="BH80" s="664">
        <f t="shared" si="88"/>
        <v>10</v>
      </c>
      <c r="BI80" s="1009">
        <f t="shared" si="89"/>
        <v>1</v>
      </c>
      <c r="BJ80" s="1020">
        <f t="shared" si="90"/>
        <v>2.1</v>
      </c>
      <c r="BK80" s="931">
        <f t="shared" si="91"/>
        <v>4.2666666666666666</v>
      </c>
      <c r="BL80" s="931">
        <f t="shared" si="92"/>
        <v>1.5</v>
      </c>
      <c r="BM80" s="931">
        <f t="shared" si="93"/>
        <v>5.0400000000000009</v>
      </c>
      <c r="BN80" s="931">
        <f t="shared" si="94"/>
        <v>1.4000000000000001</v>
      </c>
      <c r="BO80" s="931">
        <f t="shared" si="95"/>
        <v>1.666666666666667</v>
      </c>
      <c r="BP80" s="1021">
        <f t="shared" si="96"/>
        <v>7.0000000000000009</v>
      </c>
      <c r="BQ80" s="1011">
        <f t="shared" si="97"/>
        <v>22.973333333333336</v>
      </c>
      <c r="BR80" s="668">
        <f t="shared" si="98"/>
        <v>77</v>
      </c>
      <c r="BS80" s="944" t="s">
        <v>376</v>
      </c>
      <c r="BT80" s="941" t="s">
        <v>376</v>
      </c>
      <c r="BU80" s="634" t="s">
        <v>1259</v>
      </c>
      <c r="BV80" s="1048" t="str">
        <f>VLOOKUP($B80,Tiers!$A:$K,11,FALSE)</f>
        <v>Tier 4</v>
      </c>
      <c r="BW80" s="670"/>
    </row>
    <row r="81" spans="1:75" x14ac:dyDescent="0.25">
      <c r="A81" s="640">
        <v>63</v>
      </c>
      <c r="B81" s="600" t="s">
        <v>936</v>
      </c>
      <c r="C81" s="574" t="s">
        <v>37</v>
      </c>
      <c r="D81" s="576" t="s">
        <v>1094</v>
      </c>
      <c r="E81" s="576" t="s">
        <v>1090</v>
      </c>
      <c r="F81" s="576" t="s">
        <v>814</v>
      </c>
      <c r="G81" s="578">
        <v>7248.2255439999999</v>
      </c>
      <c r="H81" s="579">
        <f t="shared" ref="H81:H88" si="99">G81/5280</f>
        <v>1.3727699893939393</v>
      </c>
      <c r="I81" s="576" t="s">
        <v>1481</v>
      </c>
      <c r="J81" s="580" t="s">
        <v>824</v>
      </c>
      <c r="K81" s="580" t="s">
        <v>824</v>
      </c>
      <c r="L81" s="580" t="s">
        <v>824</v>
      </c>
      <c r="M81" s="580"/>
      <c r="N81" s="581">
        <v>2</v>
      </c>
      <c r="O81" s="581">
        <v>2</v>
      </c>
      <c r="P81" s="583" t="s">
        <v>670</v>
      </c>
      <c r="Q81" s="573" t="str">
        <f t="shared" si="67"/>
        <v>M108</v>
      </c>
      <c r="R81" s="656">
        <v>0</v>
      </c>
      <c r="S81" s="657">
        <v>65</v>
      </c>
      <c r="T81" s="657">
        <v>10</v>
      </c>
      <c r="U81" s="652">
        <v>1.49</v>
      </c>
      <c r="V81" s="652">
        <v>0.7</v>
      </c>
      <c r="W81" s="656">
        <v>0</v>
      </c>
      <c r="X81" s="656">
        <v>0</v>
      </c>
      <c r="Y81" s="656">
        <v>0</v>
      </c>
      <c r="Z81" s="657">
        <v>10</v>
      </c>
      <c r="AA81" s="656">
        <v>0</v>
      </c>
      <c r="AB81" s="656">
        <v>0</v>
      </c>
      <c r="AC81" s="656">
        <v>0</v>
      </c>
      <c r="AD81" s="656">
        <v>0</v>
      </c>
      <c r="AE81" s="656">
        <v>0</v>
      </c>
      <c r="AF81" s="656">
        <v>0</v>
      </c>
      <c r="AG81" s="656">
        <v>0</v>
      </c>
      <c r="AH81" s="656">
        <v>0</v>
      </c>
      <c r="AI81" s="654">
        <v>0</v>
      </c>
      <c r="AJ81" s="657">
        <v>4</v>
      </c>
      <c r="AK81" s="656">
        <v>0</v>
      </c>
      <c r="AL81" s="656">
        <v>0</v>
      </c>
      <c r="AM81" s="656">
        <v>0</v>
      </c>
      <c r="AN81" s="664">
        <f t="shared" si="68"/>
        <v>1</v>
      </c>
      <c r="AO81" s="664">
        <f t="shared" si="69"/>
        <v>1</v>
      </c>
      <c r="AP81" s="664">
        <f t="shared" si="70"/>
        <v>10</v>
      </c>
      <c r="AQ81" s="664">
        <f t="shared" si="71"/>
        <v>3</v>
      </c>
      <c r="AR81" s="664">
        <f t="shared" si="72"/>
        <v>5</v>
      </c>
      <c r="AS81" s="664">
        <f t="shared" si="73"/>
        <v>1</v>
      </c>
      <c r="AT81" s="664">
        <f t="shared" si="74"/>
        <v>1</v>
      </c>
      <c r="AU81" s="664">
        <f t="shared" si="75"/>
        <v>1</v>
      </c>
      <c r="AV81" s="664">
        <f t="shared" si="76"/>
        <v>10</v>
      </c>
      <c r="AW81" s="664">
        <f t="shared" si="77"/>
        <v>1</v>
      </c>
      <c r="AX81" s="664">
        <f t="shared" si="78"/>
        <v>1</v>
      </c>
      <c r="AY81" s="664">
        <f t="shared" si="79"/>
        <v>1</v>
      </c>
      <c r="AZ81" s="664">
        <f t="shared" si="80"/>
        <v>1</v>
      </c>
      <c r="BA81" s="664">
        <f t="shared" si="81"/>
        <v>1</v>
      </c>
      <c r="BB81" s="664">
        <f t="shared" si="82"/>
        <v>1</v>
      </c>
      <c r="BC81" s="664">
        <f t="shared" si="83"/>
        <v>1</v>
      </c>
      <c r="BD81" s="664">
        <f t="shared" si="84"/>
        <v>1</v>
      </c>
      <c r="BE81" s="664">
        <f t="shared" si="85"/>
        <v>1</v>
      </c>
      <c r="BF81" s="664">
        <f t="shared" si="86"/>
        <v>3</v>
      </c>
      <c r="BG81" s="664">
        <f t="shared" si="87"/>
        <v>1</v>
      </c>
      <c r="BH81" s="664">
        <f t="shared" si="88"/>
        <v>1</v>
      </c>
      <c r="BI81" s="1009">
        <f t="shared" si="89"/>
        <v>1</v>
      </c>
      <c r="BJ81" s="1020">
        <f t="shared" si="90"/>
        <v>8.4</v>
      </c>
      <c r="BK81" s="931">
        <f t="shared" si="91"/>
        <v>4.8</v>
      </c>
      <c r="BL81" s="931">
        <f t="shared" si="92"/>
        <v>1.5</v>
      </c>
      <c r="BM81" s="931">
        <f t="shared" si="93"/>
        <v>3.92</v>
      </c>
      <c r="BN81" s="931">
        <f t="shared" si="94"/>
        <v>1.4000000000000001</v>
      </c>
      <c r="BO81" s="931">
        <f t="shared" si="95"/>
        <v>1.666666666666667</v>
      </c>
      <c r="BP81" s="1021">
        <f t="shared" si="96"/>
        <v>1</v>
      </c>
      <c r="BQ81" s="1011">
        <f t="shared" si="97"/>
        <v>22.686666666666664</v>
      </c>
      <c r="BR81" s="668">
        <f t="shared" si="98"/>
        <v>78</v>
      </c>
      <c r="BS81" s="942" t="s">
        <v>376</v>
      </c>
      <c r="BT81" s="941" t="s">
        <v>376</v>
      </c>
      <c r="BU81" s="634" t="s">
        <v>1259</v>
      </c>
      <c r="BV81" s="1047" t="str">
        <f>VLOOKUP($B81,Tiers!$A:$K,11,FALSE)</f>
        <v>Tier 3</v>
      </c>
      <c r="BW81" s="670"/>
    </row>
    <row r="82" spans="1:75" x14ac:dyDescent="0.25">
      <c r="A82" s="642">
        <v>109</v>
      </c>
      <c r="B82" s="600" t="s">
        <v>944</v>
      </c>
      <c r="C82" s="574" t="s">
        <v>360</v>
      </c>
      <c r="D82" s="584" t="s">
        <v>1656</v>
      </c>
      <c r="E82" s="576" t="s">
        <v>1027</v>
      </c>
      <c r="F82" s="576" t="s">
        <v>1028</v>
      </c>
      <c r="G82" s="578">
        <v>4516.589731</v>
      </c>
      <c r="H82" s="579">
        <f t="shared" si="99"/>
        <v>0.85541472178030309</v>
      </c>
      <c r="I82" s="576" t="s">
        <v>343</v>
      </c>
      <c r="J82" s="580" t="s">
        <v>824</v>
      </c>
      <c r="K82" s="580"/>
      <c r="L82" s="580"/>
      <c r="M82" s="580"/>
      <c r="N82" s="581" t="s">
        <v>262</v>
      </c>
      <c r="O82" s="581">
        <v>2</v>
      </c>
      <c r="P82" s="583" t="s">
        <v>779</v>
      </c>
      <c r="Q82" s="573" t="str">
        <f t="shared" si="67"/>
        <v>C9</v>
      </c>
      <c r="R82" s="656">
        <v>0</v>
      </c>
      <c r="S82" s="656">
        <v>0</v>
      </c>
      <c r="T82" s="656">
        <v>0</v>
      </c>
      <c r="U82" s="651">
        <v>0</v>
      </c>
      <c r="V82" s="651">
        <v>0</v>
      </c>
      <c r="W82" s="656">
        <v>0</v>
      </c>
      <c r="X82" s="656">
        <v>0</v>
      </c>
      <c r="Y82" s="656">
        <v>0</v>
      </c>
      <c r="Z82" s="656">
        <v>0</v>
      </c>
      <c r="AA82" s="656">
        <v>0</v>
      </c>
      <c r="AB82" s="656">
        <v>0</v>
      </c>
      <c r="AC82" s="656">
        <v>0</v>
      </c>
      <c r="AD82" s="656">
        <v>0</v>
      </c>
      <c r="AE82" s="656">
        <v>0</v>
      </c>
      <c r="AF82" s="657">
        <v>10</v>
      </c>
      <c r="AG82" s="656">
        <v>0</v>
      </c>
      <c r="AH82" s="654">
        <v>0</v>
      </c>
      <c r="AI82" s="656">
        <v>0</v>
      </c>
      <c r="AJ82" s="657">
        <v>6</v>
      </c>
      <c r="AK82" s="657">
        <v>10</v>
      </c>
      <c r="AL82" s="657">
        <v>10</v>
      </c>
      <c r="AM82" s="656">
        <v>0</v>
      </c>
      <c r="AN82" s="664">
        <f t="shared" si="68"/>
        <v>1</v>
      </c>
      <c r="AO82" s="664">
        <f t="shared" si="69"/>
        <v>1</v>
      </c>
      <c r="AP82" s="664">
        <f t="shared" si="70"/>
        <v>1</v>
      </c>
      <c r="AQ82" s="664">
        <f t="shared" si="71"/>
        <v>1</v>
      </c>
      <c r="AR82" s="664">
        <f t="shared" si="72"/>
        <v>1</v>
      </c>
      <c r="AS82" s="664">
        <f t="shared" si="73"/>
        <v>1</v>
      </c>
      <c r="AT82" s="664">
        <f t="shared" si="74"/>
        <v>1</v>
      </c>
      <c r="AU82" s="664">
        <f t="shared" si="75"/>
        <v>1</v>
      </c>
      <c r="AV82" s="664">
        <f t="shared" si="76"/>
        <v>1</v>
      </c>
      <c r="AW82" s="664">
        <f t="shared" si="77"/>
        <v>1</v>
      </c>
      <c r="AX82" s="664">
        <f t="shared" si="78"/>
        <v>1</v>
      </c>
      <c r="AY82" s="664">
        <f t="shared" si="79"/>
        <v>1</v>
      </c>
      <c r="AZ82" s="664">
        <f t="shared" si="80"/>
        <v>1</v>
      </c>
      <c r="BA82" s="664">
        <f t="shared" si="81"/>
        <v>1</v>
      </c>
      <c r="BB82" s="664">
        <f t="shared" si="82"/>
        <v>10</v>
      </c>
      <c r="BC82" s="664">
        <f t="shared" si="83"/>
        <v>1</v>
      </c>
      <c r="BD82" s="664">
        <f t="shared" si="84"/>
        <v>1</v>
      </c>
      <c r="BE82" s="664">
        <f t="shared" si="85"/>
        <v>1</v>
      </c>
      <c r="BF82" s="664">
        <f t="shared" si="86"/>
        <v>8</v>
      </c>
      <c r="BG82" s="664">
        <f t="shared" si="87"/>
        <v>10</v>
      </c>
      <c r="BH82" s="664">
        <f t="shared" si="88"/>
        <v>10</v>
      </c>
      <c r="BI82" s="1009">
        <f t="shared" si="89"/>
        <v>1</v>
      </c>
      <c r="BJ82" s="1020">
        <f t="shared" si="90"/>
        <v>2.1</v>
      </c>
      <c r="BK82" s="931">
        <f t="shared" si="91"/>
        <v>1.6</v>
      </c>
      <c r="BL82" s="931">
        <f t="shared" si="92"/>
        <v>1.5</v>
      </c>
      <c r="BM82" s="931">
        <f t="shared" si="93"/>
        <v>1.4000000000000001</v>
      </c>
      <c r="BN82" s="931">
        <f t="shared" si="94"/>
        <v>5.6000000000000005</v>
      </c>
      <c r="BO82" s="931">
        <f t="shared" si="95"/>
        <v>3.3333333333333339</v>
      </c>
      <c r="BP82" s="1021">
        <f t="shared" si="96"/>
        <v>7.0000000000000009</v>
      </c>
      <c r="BQ82" s="1011">
        <f t="shared" si="97"/>
        <v>22.533333333333335</v>
      </c>
      <c r="BR82" s="668">
        <f t="shared" si="98"/>
        <v>79</v>
      </c>
      <c r="BS82" s="942" t="s">
        <v>376</v>
      </c>
      <c r="BT82" s="941" t="s">
        <v>376</v>
      </c>
      <c r="BU82" s="634" t="s">
        <v>1259</v>
      </c>
      <c r="BV82" s="1048" t="str">
        <f>VLOOKUP($B82,Tiers!$A:$K,11,FALSE)</f>
        <v>AFD</v>
      </c>
      <c r="BW82" s="670"/>
    </row>
    <row r="83" spans="1:75" ht="13.8" x14ac:dyDescent="0.3">
      <c r="A83" s="642">
        <v>111</v>
      </c>
      <c r="B83" s="600" t="s">
        <v>946</v>
      </c>
      <c r="C83" s="574" t="s">
        <v>360</v>
      </c>
      <c r="D83" s="32" t="s">
        <v>1657</v>
      </c>
      <c r="E83" s="142" t="s">
        <v>1089</v>
      </c>
      <c r="F83" s="142" t="s">
        <v>1035</v>
      </c>
      <c r="G83" s="279">
        <v>2717.2154260000002</v>
      </c>
      <c r="H83" s="672">
        <f t="shared" si="99"/>
        <v>0.51462413371212123</v>
      </c>
      <c r="I83" s="576" t="s">
        <v>573</v>
      </c>
      <c r="J83" s="580" t="s">
        <v>824</v>
      </c>
      <c r="K83" s="580" t="s">
        <v>824</v>
      </c>
      <c r="L83" s="580" t="s">
        <v>824</v>
      </c>
      <c r="M83" s="580" t="s">
        <v>824</v>
      </c>
      <c r="N83" s="581" t="s">
        <v>262</v>
      </c>
      <c r="O83" s="581" t="s">
        <v>262</v>
      </c>
      <c r="P83" s="583" t="s">
        <v>670</v>
      </c>
      <c r="Q83" s="573" t="str">
        <f t="shared" si="67"/>
        <v>C11</v>
      </c>
      <c r="R83" s="656">
        <v>0</v>
      </c>
      <c r="S83" s="658">
        <v>260</v>
      </c>
      <c r="T83" s="656">
        <v>0</v>
      </c>
      <c r="U83" s="656">
        <v>0</v>
      </c>
      <c r="V83" s="656">
        <v>0</v>
      </c>
      <c r="W83" s="656">
        <v>0</v>
      </c>
      <c r="X83" s="656">
        <v>0</v>
      </c>
      <c r="Y83" s="656">
        <v>0</v>
      </c>
      <c r="Z83" s="656">
        <v>0</v>
      </c>
      <c r="AA83" s="656">
        <v>0</v>
      </c>
      <c r="AB83" s="656">
        <v>0</v>
      </c>
      <c r="AC83" s="658">
        <v>5</v>
      </c>
      <c r="AD83" s="656">
        <v>0</v>
      </c>
      <c r="AE83" s="656">
        <v>0</v>
      </c>
      <c r="AF83" s="658">
        <v>5</v>
      </c>
      <c r="AG83" s="656">
        <v>0</v>
      </c>
      <c r="AH83" s="656">
        <v>0</v>
      </c>
      <c r="AI83" s="658">
        <v>10</v>
      </c>
      <c r="AJ83" s="658">
        <v>3</v>
      </c>
      <c r="AK83" s="656">
        <v>0</v>
      </c>
      <c r="AL83" s="658">
        <v>10</v>
      </c>
      <c r="AM83" s="658">
        <v>10</v>
      </c>
      <c r="AN83" s="664">
        <f t="shared" si="68"/>
        <v>1</v>
      </c>
      <c r="AO83" s="664">
        <f t="shared" si="69"/>
        <v>1</v>
      </c>
      <c r="AP83" s="664">
        <f t="shared" si="70"/>
        <v>1</v>
      </c>
      <c r="AQ83" s="664">
        <f t="shared" si="71"/>
        <v>1</v>
      </c>
      <c r="AR83" s="664">
        <f t="shared" si="72"/>
        <v>1</v>
      </c>
      <c r="AS83" s="664">
        <f t="shared" si="73"/>
        <v>1</v>
      </c>
      <c r="AT83" s="664">
        <f t="shared" si="74"/>
        <v>1</v>
      </c>
      <c r="AU83" s="664">
        <f t="shared" si="75"/>
        <v>1</v>
      </c>
      <c r="AV83" s="664">
        <f t="shared" si="76"/>
        <v>1</v>
      </c>
      <c r="AW83" s="664">
        <f t="shared" si="77"/>
        <v>1</v>
      </c>
      <c r="AX83" s="664">
        <f t="shared" si="78"/>
        <v>1</v>
      </c>
      <c r="AY83" s="664">
        <f t="shared" si="79"/>
        <v>5</v>
      </c>
      <c r="AZ83" s="664">
        <f t="shared" si="80"/>
        <v>1</v>
      </c>
      <c r="BA83" s="664">
        <f t="shared" si="81"/>
        <v>1</v>
      </c>
      <c r="BB83" s="664">
        <f t="shared" si="82"/>
        <v>5</v>
      </c>
      <c r="BC83" s="664">
        <f t="shared" si="83"/>
        <v>1</v>
      </c>
      <c r="BD83" s="664">
        <f t="shared" si="84"/>
        <v>1</v>
      </c>
      <c r="BE83" s="664">
        <f t="shared" si="85"/>
        <v>10</v>
      </c>
      <c r="BF83" s="664">
        <f t="shared" si="86"/>
        <v>1</v>
      </c>
      <c r="BG83" s="664">
        <f t="shared" si="87"/>
        <v>1</v>
      </c>
      <c r="BH83" s="664">
        <f t="shared" si="88"/>
        <v>10</v>
      </c>
      <c r="BI83" s="1009">
        <f t="shared" si="89"/>
        <v>10</v>
      </c>
      <c r="BJ83" s="1020">
        <f t="shared" si="90"/>
        <v>2.1</v>
      </c>
      <c r="BK83" s="931">
        <f t="shared" si="91"/>
        <v>1.6</v>
      </c>
      <c r="BL83" s="931">
        <f t="shared" si="92"/>
        <v>1.5</v>
      </c>
      <c r="BM83" s="931">
        <f t="shared" si="93"/>
        <v>2.5200000000000005</v>
      </c>
      <c r="BN83" s="931">
        <f t="shared" si="94"/>
        <v>3.2666666666666671</v>
      </c>
      <c r="BO83" s="931">
        <f t="shared" si="95"/>
        <v>4</v>
      </c>
      <c r="BP83" s="1021">
        <f t="shared" si="96"/>
        <v>7.0000000000000009</v>
      </c>
      <c r="BQ83" s="1011">
        <f t="shared" si="97"/>
        <v>21.986666666666668</v>
      </c>
      <c r="BR83" s="668">
        <f t="shared" si="98"/>
        <v>80</v>
      </c>
      <c r="BS83" s="944" t="s">
        <v>376</v>
      </c>
      <c r="BT83" s="941" t="s">
        <v>376</v>
      </c>
      <c r="BU83" s="634" t="s">
        <v>1259</v>
      </c>
      <c r="BV83" s="1044" t="str">
        <f>VLOOKUP($B83,Tiers!$A:$K,11,FALSE)</f>
        <v>AFD</v>
      </c>
      <c r="BW83" s="670" t="s">
        <v>347</v>
      </c>
    </row>
    <row r="84" spans="1:75" x14ac:dyDescent="0.25">
      <c r="A84" s="640">
        <v>112</v>
      </c>
      <c r="B84" s="600" t="s">
        <v>1274</v>
      </c>
      <c r="C84" s="574" t="s">
        <v>360</v>
      </c>
      <c r="D84" s="584" t="s">
        <v>1671</v>
      </c>
      <c r="E84" s="576" t="s">
        <v>874</v>
      </c>
      <c r="F84" s="576" t="s">
        <v>875</v>
      </c>
      <c r="G84" s="578">
        <v>14539.9236321432</v>
      </c>
      <c r="H84" s="579">
        <f t="shared" si="99"/>
        <v>2.7537734151786362</v>
      </c>
      <c r="I84" s="576" t="s">
        <v>1155</v>
      </c>
      <c r="J84" s="580"/>
      <c r="K84" s="580"/>
      <c r="L84" s="580"/>
      <c r="M84" s="580" t="s">
        <v>824</v>
      </c>
      <c r="N84" s="581"/>
      <c r="O84" s="581"/>
      <c r="P84" s="583" t="s">
        <v>670</v>
      </c>
      <c r="Q84" s="573" t="str">
        <f t="shared" si="67"/>
        <v>C12</v>
      </c>
      <c r="R84" s="656">
        <v>0</v>
      </c>
      <c r="S84" s="656">
        <v>0</v>
      </c>
      <c r="T84" s="656">
        <v>0</v>
      </c>
      <c r="U84" s="651">
        <v>0</v>
      </c>
      <c r="V84" s="651">
        <v>0</v>
      </c>
      <c r="W84" s="656">
        <v>0</v>
      </c>
      <c r="X84" s="656">
        <v>0</v>
      </c>
      <c r="Y84" s="656">
        <v>0</v>
      </c>
      <c r="Z84" s="656">
        <v>0</v>
      </c>
      <c r="AA84" s="657">
        <v>10</v>
      </c>
      <c r="AB84" s="656">
        <v>0</v>
      </c>
      <c r="AC84" s="657">
        <v>5</v>
      </c>
      <c r="AD84" s="656">
        <v>0</v>
      </c>
      <c r="AE84" s="656">
        <v>0</v>
      </c>
      <c r="AF84" s="656">
        <v>0</v>
      </c>
      <c r="AG84" s="657">
        <v>5</v>
      </c>
      <c r="AH84" s="656">
        <v>0</v>
      </c>
      <c r="AI84" s="656">
        <v>0</v>
      </c>
      <c r="AJ84" s="657">
        <v>6</v>
      </c>
      <c r="AK84" s="656">
        <v>0</v>
      </c>
      <c r="AL84" s="657">
        <v>10</v>
      </c>
      <c r="AM84" s="656">
        <v>0</v>
      </c>
      <c r="AN84" s="664">
        <f t="shared" si="68"/>
        <v>1</v>
      </c>
      <c r="AO84" s="664">
        <f t="shared" si="69"/>
        <v>1</v>
      </c>
      <c r="AP84" s="664">
        <f t="shared" si="70"/>
        <v>1</v>
      </c>
      <c r="AQ84" s="664">
        <f t="shared" si="71"/>
        <v>1</v>
      </c>
      <c r="AR84" s="664">
        <f t="shared" si="72"/>
        <v>1</v>
      </c>
      <c r="AS84" s="664">
        <f t="shared" si="73"/>
        <v>1</v>
      </c>
      <c r="AT84" s="664">
        <f t="shared" si="74"/>
        <v>1</v>
      </c>
      <c r="AU84" s="664">
        <f t="shared" si="75"/>
        <v>1</v>
      </c>
      <c r="AV84" s="664">
        <f t="shared" si="76"/>
        <v>1</v>
      </c>
      <c r="AW84" s="664">
        <f t="shared" si="77"/>
        <v>10</v>
      </c>
      <c r="AX84" s="664">
        <f t="shared" si="78"/>
        <v>1</v>
      </c>
      <c r="AY84" s="664">
        <f t="shared" si="79"/>
        <v>5</v>
      </c>
      <c r="AZ84" s="664">
        <f t="shared" si="80"/>
        <v>1</v>
      </c>
      <c r="BA84" s="664">
        <f t="shared" si="81"/>
        <v>1</v>
      </c>
      <c r="BB84" s="664">
        <f t="shared" si="82"/>
        <v>1</v>
      </c>
      <c r="BC84" s="664">
        <f t="shared" si="83"/>
        <v>5</v>
      </c>
      <c r="BD84" s="664">
        <f t="shared" si="84"/>
        <v>1</v>
      </c>
      <c r="BE84" s="664">
        <f t="shared" si="85"/>
        <v>1</v>
      </c>
      <c r="BF84" s="664">
        <f t="shared" si="86"/>
        <v>8</v>
      </c>
      <c r="BG84" s="664">
        <f t="shared" si="87"/>
        <v>1</v>
      </c>
      <c r="BH84" s="664">
        <f t="shared" si="88"/>
        <v>10</v>
      </c>
      <c r="BI84" s="1009">
        <f t="shared" si="89"/>
        <v>1</v>
      </c>
      <c r="BJ84" s="1020">
        <f t="shared" si="90"/>
        <v>2.1</v>
      </c>
      <c r="BK84" s="931">
        <f t="shared" si="91"/>
        <v>1.6</v>
      </c>
      <c r="BL84" s="931">
        <f t="shared" si="92"/>
        <v>1.5</v>
      </c>
      <c r="BM84" s="931">
        <f t="shared" si="93"/>
        <v>5.0400000000000009</v>
      </c>
      <c r="BN84" s="931">
        <f t="shared" si="94"/>
        <v>3.2666666666666671</v>
      </c>
      <c r="BO84" s="931">
        <f t="shared" si="95"/>
        <v>3.3333333333333339</v>
      </c>
      <c r="BP84" s="1021">
        <f t="shared" si="96"/>
        <v>4</v>
      </c>
      <c r="BQ84" s="1011">
        <f t="shared" si="97"/>
        <v>20.840000000000003</v>
      </c>
      <c r="BR84" s="668">
        <f t="shared" si="98"/>
        <v>81</v>
      </c>
      <c r="BS84" s="942">
        <v>31</v>
      </c>
      <c r="BT84" s="943" t="s">
        <v>1273</v>
      </c>
      <c r="BU84" s="634" t="s">
        <v>1259</v>
      </c>
      <c r="BV84" s="1044" t="str">
        <f>VLOOKUP($B84,Tiers!$A:$K,11,FALSE)</f>
        <v>AFD</v>
      </c>
      <c r="BW84" s="622" t="s">
        <v>347</v>
      </c>
    </row>
    <row r="85" spans="1:75" x14ac:dyDescent="0.25">
      <c r="A85" s="641">
        <v>68</v>
      </c>
      <c r="B85" s="600" t="s">
        <v>949</v>
      </c>
      <c r="C85" s="574" t="s">
        <v>37</v>
      </c>
      <c r="D85" s="576" t="s">
        <v>1036</v>
      </c>
      <c r="E85" s="576" t="s">
        <v>1037</v>
      </c>
      <c r="F85" s="576" t="s">
        <v>1038</v>
      </c>
      <c r="G85" s="578">
        <v>3408.7447969999998</v>
      </c>
      <c r="H85" s="579">
        <f t="shared" si="99"/>
        <v>0.64559560549242423</v>
      </c>
      <c r="I85" s="576" t="s">
        <v>1643</v>
      </c>
      <c r="J85" s="580"/>
      <c r="K85" s="580"/>
      <c r="L85" s="580"/>
      <c r="M85" s="580"/>
      <c r="N85" s="582" t="s">
        <v>262</v>
      </c>
      <c r="O85" s="581" t="s">
        <v>262</v>
      </c>
      <c r="P85" s="583" t="s">
        <v>670</v>
      </c>
      <c r="Q85" s="573" t="str">
        <f t="shared" si="67"/>
        <v>M116</v>
      </c>
      <c r="R85" s="656">
        <v>0</v>
      </c>
      <c r="S85" s="656">
        <v>0</v>
      </c>
      <c r="T85" s="656">
        <v>0</v>
      </c>
      <c r="U85" s="651">
        <v>0</v>
      </c>
      <c r="V85" s="651">
        <v>0</v>
      </c>
      <c r="W85" s="656">
        <v>0</v>
      </c>
      <c r="X85" s="656">
        <v>0</v>
      </c>
      <c r="Y85" s="656">
        <v>0</v>
      </c>
      <c r="Z85" s="657">
        <v>10</v>
      </c>
      <c r="AA85" s="656">
        <v>0</v>
      </c>
      <c r="AB85" s="657">
        <v>10</v>
      </c>
      <c r="AC85" s="656">
        <v>0</v>
      </c>
      <c r="AD85" s="656">
        <v>0</v>
      </c>
      <c r="AE85" s="656">
        <v>0</v>
      </c>
      <c r="AF85" s="656">
        <v>0</v>
      </c>
      <c r="AG85" s="656">
        <v>0</v>
      </c>
      <c r="AH85" s="656">
        <v>0</v>
      </c>
      <c r="AI85" s="656">
        <v>0</v>
      </c>
      <c r="AJ85" s="657">
        <v>5</v>
      </c>
      <c r="AK85" s="657">
        <v>5</v>
      </c>
      <c r="AL85" s="656">
        <v>0</v>
      </c>
      <c r="AM85" s="657">
        <v>10</v>
      </c>
      <c r="AN85" s="664">
        <f t="shared" si="68"/>
        <v>1</v>
      </c>
      <c r="AO85" s="664">
        <f t="shared" si="69"/>
        <v>1</v>
      </c>
      <c r="AP85" s="664">
        <f t="shared" si="70"/>
        <v>1</v>
      </c>
      <c r="AQ85" s="664">
        <f t="shared" si="71"/>
        <v>1</v>
      </c>
      <c r="AR85" s="664">
        <f t="shared" si="72"/>
        <v>1</v>
      </c>
      <c r="AS85" s="664">
        <f t="shared" si="73"/>
        <v>1</v>
      </c>
      <c r="AT85" s="664">
        <f t="shared" si="74"/>
        <v>1</v>
      </c>
      <c r="AU85" s="664">
        <f t="shared" si="75"/>
        <v>1</v>
      </c>
      <c r="AV85" s="664">
        <f t="shared" si="76"/>
        <v>10</v>
      </c>
      <c r="AW85" s="664">
        <f t="shared" si="77"/>
        <v>1</v>
      </c>
      <c r="AX85" s="664">
        <f t="shared" si="78"/>
        <v>10</v>
      </c>
      <c r="AY85" s="664">
        <f t="shared" si="79"/>
        <v>1</v>
      </c>
      <c r="AZ85" s="664">
        <f t="shared" si="80"/>
        <v>1</v>
      </c>
      <c r="BA85" s="664">
        <f t="shared" si="81"/>
        <v>1</v>
      </c>
      <c r="BB85" s="664">
        <f t="shared" si="82"/>
        <v>1</v>
      </c>
      <c r="BC85" s="664">
        <f t="shared" si="83"/>
        <v>1</v>
      </c>
      <c r="BD85" s="664">
        <f t="shared" si="84"/>
        <v>1</v>
      </c>
      <c r="BE85" s="664">
        <f t="shared" si="85"/>
        <v>1</v>
      </c>
      <c r="BF85" s="664">
        <f t="shared" si="86"/>
        <v>5</v>
      </c>
      <c r="BG85" s="664">
        <f t="shared" si="87"/>
        <v>5</v>
      </c>
      <c r="BH85" s="664">
        <f t="shared" si="88"/>
        <v>1</v>
      </c>
      <c r="BI85" s="1009">
        <f t="shared" si="89"/>
        <v>10</v>
      </c>
      <c r="BJ85" s="1020">
        <f t="shared" si="90"/>
        <v>2.1</v>
      </c>
      <c r="BK85" s="931">
        <f t="shared" si="91"/>
        <v>1.6</v>
      </c>
      <c r="BL85" s="931">
        <f t="shared" si="92"/>
        <v>1.5</v>
      </c>
      <c r="BM85" s="931">
        <f t="shared" si="93"/>
        <v>6.44</v>
      </c>
      <c r="BN85" s="931">
        <f t="shared" si="94"/>
        <v>1.4000000000000001</v>
      </c>
      <c r="BO85" s="931">
        <f t="shared" si="95"/>
        <v>2.3333333333333335</v>
      </c>
      <c r="BP85" s="1021">
        <f t="shared" si="96"/>
        <v>5.333333333333333</v>
      </c>
      <c r="BQ85" s="1011">
        <f t="shared" si="97"/>
        <v>20.706666666666667</v>
      </c>
      <c r="BR85" s="668">
        <f t="shared" si="98"/>
        <v>82</v>
      </c>
      <c r="BS85" s="942" t="s">
        <v>376</v>
      </c>
      <c r="BT85" s="941" t="s">
        <v>376</v>
      </c>
      <c r="BU85" s="634" t="s">
        <v>1259</v>
      </c>
      <c r="BV85" s="1047" t="str">
        <f>VLOOKUP($B85,Tiers!$A:$K,11,FALSE)</f>
        <v>Tier 2</v>
      </c>
      <c r="BW85" s="670" t="s">
        <v>1370</v>
      </c>
    </row>
    <row r="86" spans="1:75" x14ac:dyDescent="0.25">
      <c r="A86" s="640">
        <v>64</v>
      </c>
      <c r="B86" s="600" t="s">
        <v>937</v>
      </c>
      <c r="C86" s="574" t="s">
        <v>37</v>
      </c>
      <c r="D86" s="576" t="s">
        <v>987</v>
      </c>
      <c r="E86" s="576" t="s">
        <v>735</v>
      </c>
      <c r="F86" s="576" t="s">
        <v>734</v>
      </c>
      <c r="G86" s="578">
        <v>1945.917383</v>
      </c>
      <c r="H86" s="579">
        <f t="shared" si="99"/>
        <v>0.36854495890151517</v>
      </c>
      <c r="I86" s="576" t="s">
        <v>1487</v>
      </c>
      <c r="J86" s="580" t="s">
        <v>824</v>
      </c>
      <c r="K86" s="580" t="s">
        <v>824</v>
      </c>
      <c r="L86" s="580"/>
      <c r="M86" s="580"/>
      <c r="N86" s="581">
        <v>2</v>
      </c>
      <c r="O86" s="581">
        <v>3</v>
      </c>
      <c r="P86" s="583" t="s">
        <v>779</v>
      </c>
      <c r="Q86" s="573" t="str">
        <f t="shared" si="67"/>
        <v>M109</v>
      </c>
      <c r="R86" s="656">
        <v>0</v>
      </c>
      <c r="S86" s="657">
        <v>975</v>
      </c>
      <c r="T86" s="656">
        <v>0</v>
      </c>
      <c r="U86" s="651">
        <v>0</v>
      </c>
      <c r="V86" s="652">
        <v>1.0900000000000001</v>
      </c>
      <c r="W86" s="656">
        <v>0</v>
      </c>
      <c r="X86" s="656">
        <v>0</v>
      </c>
      <c r="Y86" s="656">
        <v>0</v>
      </c>
      <c r="Z86" s="657">
        <v>10</v>
      </c>
      <c r="AA86" s="656">
        <v>0</v>
      </c>
      <c r="AB86" s="656">
        <v>0</v>
      </c>
      <c r="AC86" s="657">
        <v>10</v>
      </c>
      <c r="AD86" s="657">
        <v>5</v>
      </c>
      <c r="AE86" s="656">
        <v>0</v>
      </c>
      <c r="AF86" s="656">
        <v>0</v>
      </c>
      <c r="AG86" s="656">
        <v>0</v>
      </c>
      <c r="AH86" s="656">
        <v>0</v>
      </c>
      <c r="AI86" s="656">
        <v>0</v>
      </c>
      <c r="AJ86" s="657">
        <v>5</v>
      </c>
      <c r="AK86" s="656">
        <v>0</v>
      </c>
      <c r="AL86" s="656">
        <v>0</v>
      </c>
      <c r="AM86" s="656">
        <v>0</v>
      </c>
      <c r="AN86" s="664">
        <f t="shared" si="68"/>
        <v>1</v>
      </c>
      <c r="AO86" s="664">
        <f t="shared" si="69"/>
        <v>1</v>
      </c>
      <c r="AP86" s="664">
        <f t="shared" si="70"/>
        <v>1</v>
      </c>
      <c r="AQ86" s="664">
        <f t="shared" si="71"/>
        <v>1</v>
      </c>
      <c r="AR86" s="664">
        <f t="shared" si="72"/>
        <v>7</v>
      </c>
      <c r="AS86" s="664">
        <f t="shared" si="73"/>
        <v>1</v>
      </c>
      <c r="AT86" s="664">
        <f t="shared" si="74"/>
        <v>1</v>
      </c>
      <c r="AU86" s="664">
        <f t="shared" si="75"/>
        <v>1</v>
      </c>
      <c r="AV86" s="664">
        <f t="shared" si="76"/>
        <v>10</v>
      </c>
      <c r="AW86" s="664">
        <f t="shared" si="77"/>
        <v>1</v>
      </c>
      <c r="AX86" s="664">
        <f t="shared" si="78"/>
        <v>1</v>
      </c>
      <c r="AY86" s="664">
        <f t="shared" si="79"/>
        <v>10</v>
      </c>
      <c r="AZ86" s="664">
        <f t="shared" si="80"/>
        <v>5</v>
      </c>
      <c r="BA86" s="664">
        <f t="shared" si="81"/>
        <v>1</v>
      </c>
      <c r="BB86" s="664">
        <f t="shared" si="82"/>
        <v>1</v>
      </c>
      <c r="BC86" s="664">
        <f t="shared" si="83"/>
        <v>1</v>
      </c>
      <c r="BD86" s="664">
        <f t="shared" si="84"/>
        <v>1</v>
      </c>
      <c r="BE86" s="664">
        <f t="shared" si="85"/>
        <v>1</v>
      </c>
      <c r="BF86" s="664">
        <f t="shared" si="86"/>
        <v>5</v>
      </c>
      <c r="BG86" s="664">
        <f t="shared" si="87"/>
        <v>1</v>
      </c>
      <c r="BH86" s="664">
        <f t="shared" si="88"/>
        <v>1</v>
      </c>
      <c r="BI86" s="1009">
        <f t="shared" si="89"/>
        <v>1</v>
      </c>
      <c r="BJ86" s="1020">
        <f t="shared" si="90"/>
        <v>2.1</v>
      </c>
      <c r="BK86" s="931">
        <f t="shared" si="91"/>
        <v>4.8</v>
      </c>
      <c r="BL86" s="931">
        <f t="shared" si="92"/>
        <v>1.5</v>
      </c>
      <c r="BM86" s="931">
        <f t="shared" si="93"/>
        <v>7.5600000000000014</v>
      </c>
      <c r="BN86" s="931">
        <f t="shared" si="94"/>
        <v>1.4000000000000001</v>
      </c>
      <c r="BO86" s="931">
        <f t="shared" si="95"/>
        <v>2.3333333333333335</v>
      </c>
      <c r="BP86" s="1021">
        <f t="shared" si="96"/>
        <v>1</v>
      </c>
      <c r="BQ86" s="1011">
        <f t="shared" si="97"/>
        <v>20.693333333333332</v>
      </c>
      <c r="BR86" s="668">
        <f t="shared" si="98"/>
        <v>83</v>
      </c>
      <c r="BS86" s="942" t="s">
        <v>376</v>
      </c>
      <c r="BT86" s="941" t="s">
        <v>376</v>
      </c>
      <c r="BU86" s="634" t="s">
        <v>1259</v>
      </c>
      <c r="BV86" s="1048" t="str">
        <f>VLOOKUP($B86,Tiers!$A:$K,11,FALSE)</f>
        <v>Tier 4</v>
      </c>
      <c r="BW86" s="670"/>
    </row>
    <row r="87" spans="1:75" x14ac:dyDescent="0.25">
      <c r="A87" s="642">
        <v>113</v>
      </c>
      <c r="B87" s="600" t="s">
        <v>1275</v>
      </c>
      <c r="C87" s="574" t="s">
        <v>360</v>
      </c>
      <c r="D87" s="584" t="s">
        <v>1672</v>
      </c>
      <c r="E87" s="576" t="s">
        <v>875</v>
      </c>
      <c r="F87" s="576" t="s">
        <v>877</v>
      </c>
      <c r="G87" s="578">
        <v>32803.011998789101</v>
      </c>
      <c r="H87" s="579">
        <f t="shared" si="99"/>
        <v>6.2126916664373297</v>
      </c>
      <c r="I87" s="576" t="s">
        <v>1155</v>
      </c>
      <c r="J87" s="580"/>
      <c r="K87" s="580"/>
      <c r="L87" s="580"/>
      <c r="M87" s="580" t="s">
        <v>824</v>
      </c>
      <c r="N87" s="581"/>
      <c r="O87" s="581"/>
      <c r="P87" s="583" t="s">
        <v>670</v>
      </c>
      <c r="Q87" s="573" t="str">
        <f t="shared" si="67"/>
        <v>C13</v>
      </c>
      <c r="R87" s="656">
        <v>0</v>
      </c>
      <c r="S87" s="656">
        <v>0</v>
      </c>
      <c r="T87" s="656">
        <v>0</v>
      </c>
      <c r="U87" s="651">
        <v>0</v>
      </c>
      <c r="V87" s="651">
        <v>0</v>
      </c>
      <c r="W87" s="656">
        <v>0</v>
      </c>
      <c r="X87" s="656">
        <v>0</v>
      </c>
      <c r="Y87" s="656">
        <v>0</v>
      </c>
      <c r="Z87" s="656">
        <v>0</v>
      </c>
      <c r="AA87" s="657">
        <v>10</v>
      </c>
      <c r="AB87" s="656">
        <v>0</v>
      </c>
      <c r="AC87" s="657">
        <v>5</v>
      </c>
      <c r="AD87" s="656">
        <v>0</v>
      </c>
      <c r="AE87" s="656">
        <v>0</v>
      </c>
      <c r="AF87" s="656">
        <v>0</v>
      </c>
      <c r="AG87" s="656">
        <v>0</v>
      </c>
      <c r="AH87" s="656">
        <v>0</v>
      </c>
      <c r="AI87" s="656">
        <v>0</v>
      </c>
      <c r="AJ87" s="657">
        <v>6</v>
      </c>
      <c r="AK87" s="656">
        <v>0</v>
      </c>
      <c r="AL87" s="657">
        <v>10</v>
      </c>
      <c r="AM87" s="656">
        <v>0</v>
      </c>
      <c r="AN87" s="664">
        <f t="shared" si="68"/>
        <v>1</v>
      </c>
      <c r="AO87" s="664">
        <f t="shared" si="69"/>
        <v>1</v>
      </c>
      <c r="AP87" s="664">
        <f t="shared" si="70"/>
        <v>1</v>
      </c>
      <c r="AQ87" s="664">
        <f t="shared" si="71"/>
        <v>1</v>
      </c>
      <c r="AR87" s="664">
        <f t="shared" si="72"/>
        <v>1</v>
      </c>
      <c r="AS87" s="664">
        <f t="shared" si="73"/>
        <v>1</v>
      </c>
      <c r="AT87" s="664">
        <f t="shared" si="74"/>
        <v>1</v>
      </c>
      <c r="AU87" s="664">
        <f t="shared" si="75"/>
        <v>1</v>
      </c>
      <c r="AV87" s="664">
        <f t="shared" si="76"/>
        <v>1</v>
      </c>
      <c r="AW87" s="664">
        <f t="shared" si="77"/>
        <v>10</v>
      </c>
      <c r="AX87" s="664">
        <f t="shared" si="78"/>
        <v>1</v>
      </c>
      <c r="AY87" s="664">
        <f t="shared" si="79"/>
        <v>5</v>
      </c>
      <c r="AZ87" s="664">
        <f t="shared" si="80"/>
        <v>1</v>
      </c>
      <c r="BA87" s="664">
        <f t="shared" si="81"/>
        <v>1</v>
      </c>
      <c r="BB87" s="664">
        <f t="shared" si="82"/>
        <v>1</v>
      </c>
      <c r="BC87" s="664">
        <f t="shared" si="83"/>
        <v>1</v>
      </c>
      <c r="BD87" s="664">
        <f t="shared" si="84"/>
        <v>1</v>
      </c>
      <c r="BE87" s="664">
        <f t="shared" si="85"/>
        <v>1</v>
      </c>
      <c r="BF87" s="664">
        <f t="shared" si="86"/>
        <v>8</v>
      </c>
      <c r="BG87" s="664">
        <f t="shared" si="87"/>
        <v>1</v>
      </c>
      <c r="BH87" s="664">
        <f t="shared" si="88"/>
        <v>10</v>
      </c>
      <c r="BI87" s="1009">
        <f t="shared" si="89"/>
        <v>1</v>
      </c>
      <c r="BJ87" s="1020">
        <f t="shared" si="90"/>
        <v>2.1</v>
      </c>
      <c r="BK87" s="931">
        <f t="shared" si="91"/>
        <v>1.6</v>
      </c>
      <c r="BL87" s="931">
        <f t="shared" si="92"/>
        <v>1.5</v>
      </c>
      <c r="BM87" s="931">
        <f t="shared" si="93"/>
        <v>5.0400000000000009</v>
      </c>
      <c r="BN87" s="931">
        <f t="shared" si="94"/>
        <v>1.4000000000000001</v>
      </c>
      <c r="BO87" s="931">
        <f t="shared" si="95"/>
        <v>3.3333333333333339</v>
      </c>
      <c r="BP87" s="1021">
        <f t="shared" si="96"/>
        <v>4</v>
      </c>
      <c r="BQ87" s="1011">
        <f t="shared" si="97"/>
        <v>18.973333333333336</v>
      </c>
      <c r="BR87" s="668">
        <f t="shared" si="98"/>
        <v>84</v>
      </c>
      <c r="BS87" s="942">
        <v>32</v>
      </c>
      <c r="BT87" s="943" t="s">
        <v>1273</v>
      </c>
      <c r="BU87" s="634" t="s">
        <v>1259</v>
      </c>
      <c r="BV87" s="1044" t="str">
        <f>VLOOKUP($B87,Tiers!$A:$K,11,FALSE)</f>
        <v>AFD</v>
      </c>
      <c r="BW87" s="622" t="s">
        <v>347</v>
      </c>
    </row>
    <row r="88" spans="1:75" x14ac:dyDescent="0.25">
      <c r="A88" s="640">
        <v>72</v>
      </c>
      <c r="B88" s="600" t="s">
        <v>953</v>
      </c>
      <c r="C88" s="574" t="s">
        <v>37</v>
      </c>
      <c r="D88" s="576" t="s">
        <v>1079</v>
      </c>
      <c r="E88" s="576" t="s">
        <v>1080</v>
      </c>
      <c r="F88" s="576" t="s">
        <v>1081</v>
      </c>
      <c r="G88" s="578">
        <v>22000</v>
      </c>
      <c r="H88" s="579">
        <f t="shared" si="99"/>
        <v>4.166666666666667</v>
      </c>
      <c r="I88" s="576" t="s">
        <v>1643</v>
      </c>
      <c r="J88" s="580"/>
      <c r="K88" s="580" t="s">
        <v>824</v>
      </c>
      <c r="L88" s="580" t="s">
        <v>824</v>
      </c>
      <c r="M88" s="580"/>
      <c r="N88" s="581" t="s">
        <v>262</v>
      </c>
      <c r="O88" s="581" t="s">
        <v>262</v>
      </c>
      <c r="P88" s="583" t="s">
        <v>670</v>
      </c>
      <c r="Q88" s="573" t="str">
        <f t="shared" si="67"/>
        <v>M120</v>
      </c>
      <c r="R88" s="656">
        <v>0</v>
      </c>
      <c r="S88" s="656">
        <v>0</v>
      </c>
      <c r="T88" s="656">
        <v>0</v>
      </c>
      <c r="U88" s="652">
        <v>1.07</v>
      </c>
      <c r="V88" s="651">
        <v>0</v>
      </c>
      <c r="W88" s="656">
        <v>0</v>
      </c>
      <c r="X88" s="656">
        <v>0</v>
      </c>
      <c r="Y88" s="656">
        <v>0</v>
      </c>
      <c r="Z88" s="656">
        <v>0</v>
      </c>
      <c r="AA88" s="656">
        <v>0</v>
      </c>
      <c r="AB88" s="657">
        <v>5</v>
      </c>
      <c r="AC88" s="656">
        <v>0</v>
      </c>
      <c r="AD88" s="656">
        <v>0</v>
      </c>
      <c r="AE88" s="657">
        <v>10</v>
      </c>
      <c r="AF88" s="656">
        <v>0</v>
      </c>
      <c r="AG88" s="656">
        <v>0</v>
      </c>
      <c r="AH88" s="656">
        <v>0</v>
      </c>
      <c r="AI88" s="656">
        <v>0</v>
      </c>
      <c r="AJ88" s="657">
        <v>7</v>
      </c>
      <c r="AK88" s="656">
        <v>0</v>
      </c>
      <c r="AL88" s="656">
        <v>0</v>
      </c>
      <c r="AM88" s="656">
        <v>0</v>
      </c>
      <c r="AN88" s="664">
        <f t="shared" si="68"/>
        <v>1</v>
      </c>
      <c r="AO88" s="664">
        <f t="shared" si="69"/>
        <v>1</v>
      </c>
      <c r="AP88" s="664">
        <f t="shared" si="70"/>
        <v>1</v>
      </c>
      <c r="AQ88" s="664">
        <f t="shared" si="71"/>
        <v>2</v>
      </c>
      <c r="AR88" s="664">
        <f t="shared" si="72"/>
        <v>1</v>
      </c>
      <c r="AS88" s="664">
        <f t="shared" si="73"/>
        <v>1</v>
      </c>
      <c r="AT88" s="664">
        <f t="shared" si="74"/>
        <v>1</v>
      </c>
      <c r="AU88" s="664">
        <f t="shared" si="75"/>
        <v>1</v>
      </c>
      <c r="AV88" s="664">
        <f t="shared" si="76"/>
        <v>1</v>
      </c>
      <c r="AW88" s="664">
        <f t="shared" si="77"/>
        <v>1</v>
      </c>
      <c r="AX88" s="664">
        <f t="shared" si="78"/>
        <v>5</v>
      </c>
      <c r="AY88" s="664">
        <f t="shared" si="79"/>
        <v>1</v>
      </c>
      <c r="AZ88" s="664">
        <f t="shared" si="80"/>
        <v>1</v>
      </c>
      <c r="BA88" s="664">
        <f t="shared" si="81"/>
        <v>10</v>
      </c>
      <c r="BB88" s="664">
        <f t="shared" si="82"/>
        <v>1</v>
      </c>
      <c r="BC88" s="664">
        <f t="shared" si="83"/>
        <v>1</v>
      </c>
      <c r="BD88" s="664">
        <f t="shared" si="84"/>
        <v>1</v>
      </c>
      <c r="BE88" s="664">
        <f t="shared" si="85"/>
        <v>1</v>
      </c>
      <c r="BF88" s="664">
        <f t="shared" si="86"/>
        <v>10</v>
      </c>
      <c r="BG88" s="664">
        <f t="shared" si="87"/>
        <v>1</v>
      </c>
      <c r="BH88" s="664">
        <f t="shared" si="88"/>
        <v>1</v>
      </c>
      <c r="BI88" s="1009">
        <f t="shared" si="89"/>
        <v>1</v>
      </c>
      <c r="BJ88" s="1020">
        <f t="shared" si="90"/>
        <v>2.1</v>
      </c>
      <c r="BK88" s="931">
        <f t="shared" si="91"/>
        <v>2.1333333333333333</v>
      </c>
      <c r="BL88" s="931">
        <f t="shared" si="92"/>
        <v>1.5</v>
      </c>
      <c r="BM88" s="931">
        <f t="shared" si="93"/>
        <v>2.5200000000000005</v>
      </c>
      <c r="BN88" s="931">
        <f t="shared" si="94"/>
        <v>5.6000000000000005</v>
      </c>
      <c r="BO88" s="931">
        <f t="shared" si="95"/>
        <v>4</v>
      </c>
      <c r="BP88" s="1021">
        <f t="shared" si="96"/>
        <v>1</v>
      </c>
      <c r="BQ88" s="1011">
        <f t="shared" si="97"/>
        <v>18.853333333333335</v>
      </c>
      <c r="BR88" s="668">
        <f t="shared" si="98"/>
        <v>85</v>
      </c>
      <c r="BS88" s="942" t="s">
        <v>376</v>
      </c>
      <c r="BT88" s="941" t="s">
        <v>376</v>
      </c>
      <c r="BU88" s="634" t="s">
        <v>1259</v>
      </c>
      <c r="BV88" s="1048" t="str">
        <f>VLOOKUP($B88,Tiers!$A:$K,11,FALSE)</f>
        <v>Tier 4</v>
      </c>
      <c r="BW88" s="670"/>
    </row>
    <row r="89" spans="1:75" ht="13.8" x14ac:dyDescent="0.3">
      <c r="A89" s="641">
        <v>17</v>
      </c>
      <c r="B89" s="574" t="s">
        <v>1121</v>
      </c>
      <c r="C89" s="574" t="s">
        <v>197</v>
      </c>
      <c r="D89" s="577" t="s">
        <v>770</v>
      </c>
      <c r="E89" s="32" t="s">
        <v>124</v>
      </c>
      <c r="F89" s="32" t="s">
        <v>1351</v>
      </c>
      <c r="G89" s="577">
        <v>1</v>
      </c>
      <c r="H89" s="577">
        <v>1</v>
      </c>
      <c r="I89" s="577" t="s">
        <v>1049</v>
      </c>
      <c r="J89" s="276" t="s">
        <v>824</v>
      </c>
      <c r="K89" s="276" t="s">
        <v>824</v>
      </c>
      <c r="L89" s="276" t="s">
        <v>824</v>
      </c>
      <c r="M89" s="276"/>
      <c r="N89" s="580"/>
      <c r="O89" s="580"/>
      <c r="P89" s="580" t="s">
        <v>670</v>
      </c>
      <c r="Q89" s="573" t="str">
        <f t="shared" si="67"/>
        <v>M19</v>
      </c>
      <c r="R89" s="656">
        <v>0</v>
      </c>
      <c r="S89" s="657">
        <v>80</v>
      </c>
      <c r="T89" s="656">
        <v>0</v>
      </c>
      <c r="U89" s="651">
        <v>0</v>
      </c>
      <c r="V89" s="652">
        <v>0.35</v>
      </c>
      <c r="W89" s="656">
        <v>0</v>
      </c>
      <c r="X89" s="656">
        <v>0</v>
      </c>
      <c r="Y89" s="656">
        <v>0</v>
      </c>
      <c r="Z89" s="657">
        <v>10</v>
      </c>
      <c r="AA89" s="656">
        <v>0</v>
      </c>
      <c r="AB89" s="656">
        <v>0</v>
      </c>
      <c r="AC89" s="656">
        <v>0</v>
      </c>
      <c r="AD89" s="656">
        <v>0</v>
      </c>
      <c r="AE89" s="656">
        <v>0</v>
      </c>
      <c r="AF89" s="656">
        <v>0</v>
      </c>
      <c r="AG89" s="656">
        <v>0</v>
      </c>
      <c r="AH89" s="656">
        <v>0</v>
      </c>
      <c r="AI89" s="656">
        <v>0</v>
      </c>
      <c r="AJ89" s="657">
        <v>5</v>
      </c>
      <c r="AK89" s="657">
        <v>5</v>
      </c>
      <c r="AL89" s="657">
        <v>10</v>
      </c>
      <c r="AM89" s="656">
        <v>0</v>
      </c>
      <c r="AN89" s="664">
        <f t="shared" si="68"/>
        <v>1</v>
      </c>
      <c r="AO89" s="664">
        <f t="shared" si="69"/>
        <v>1</v>
      </c>
      <c r="AP89" s="664">
        <f t="shared" si="70"/>
        <v>1</v>
      </c>
      <c r="AQ89" s="664">
        <f t="shared" si="71"/>
        <v>1</v>
      </c>
      <c r="AR89" s="664">
        <f t="shared" si="72"/>
        <v>2</v>
      </c>
      <c r="AS89" s="664">
        <f t="shared" si="73"/>
        <v>1</v>
      </c>
      <c r="AT89" s="664">
        <f t="shared" si="74"/>
        <v>1</v>
      </c>
      <c r="AU89" s="664">
        <f t="shared" si="75"/>
        <v>1</v>
      </c>
      <c r="AV89" s="664">
        <f t="shared" si="76"/>
        <v>10</v>
      </c>
      <c r="AW89" s="664">
        <f t="shared" si="77"/>
        <v>1</v>
      </c>
      <c r="AX89" s="664">
        <f t="shared" si="78"/>
        <v>1</v>
      </c>
      <c r="AY89" s="664">
        <f t="shared" si="79"/>
        <v>1</v>
      </c>
      <c r="AZ89" s="664">
        <f t="shared" si="80"/>
        <v>1</v>
      </c>
      <c r="BA89" s="664">
        <f t="shared" si="81"/>
        <v>1</v>
      </c>
      <c r="BB89" s="664">
        <f t="shared" si="82"/>
        <v>1</v>
      </c>
      <c r="BC89" s="664">
        <f t="shared" si="83"/>
        <v>1</v>
      </c>
      <c r="BD89" s="664">
        <f t="shared" si="84"/>
        <v>1</v>
      </c>
      <c r="BE89" s="664">
        <f t="shared" si="85"/>
        <v>1</v>
      </c>
      <c r="BF89" s="664">
        <f t="shared" si="86"/>
        <v>5</v>
      </c>
      <c r="BG89" s="664">
        <f t="shared" si="87"/>
        <v>5</v>
      </c>
      <c r="BH89" s="664">
        <f t="shared" si="88"/>
        <v>10</v>
      </c>
      <c r="BI89" s="1009">
        <f t="shared" si="89"/>
        <v>1</v>
      </c>
      <c r="BJ89" s="1020">
        <f t="shared" si="90"/>
        <v>2.1</v>
      </c>
      <c r="BK89" s="931">
        <f t="shared" si="91"/>
        <v>2.1333333333333333</v>
      </c>
      <c r="BL89" s="931">
        <f t="shared" si="92"/>
        <v>1.5</v>
      </c>
      <c r="BM89" s="931">
        <f t="shared" si="93"/>
        <v>3.92</v>
      </c>
      <c r="BN89" s="931">
        <f t="shared" si="94"/>
        <v>1.4000000000000001</v>
      </c>
      <c r="BO89" s="931">
        <f t="shared" si="95"/>
        <v>2.3333333333333335</v>
      </c>
      <c r="BP89" s="1021">
        <f t="shared" si="96"/>
        <v>5.333333333333333</v>
      </c>
      <c r="BQ89" s="1011">
        <f t="shared" si="97"/>
        <v>18.72</v>
      </c>
      <c r="BR89" s="668">
        <f t="shared" si="98"/>
        <v>86</v>
      </c>
      <c r="BS89" s="944" t="s">
        <v>376</v>
      </c>
      <c r="BT89" s="941" t="s">
        <v>376</v>
      </c>
      <c r="BU89" s="634" t="s">
        <v>1259</v>
      </c>
      <c r="BV89" s="1046" t="str">
        <f>VLOOKUP($B89,Tiers!$A:$K,11,FALSE)</f>
        <v>Tier 2</v>
      </c>
      <c r="BW89" s="670"/>
    </row>
    <row r="90" spans="1:75" ht="13.8" x14ac:dyDescent="0.3">
      <c r="A90" s="640">
        <v>16</v>
      </c>
      <c r="B90" s="574" t="s">
        <v>1120</v>
      </c>
      <c r="C90" s="574" t="s">
        <v>197</v>
      </c>
      <c r="D90" s="577" t="s">
        <v>769</v>
      </c>
      <c r="E90" s="32" t="s">
        <v>867</v>
      </c>
      <c r="F90" s="32" t="s">
        <v>1355</v>
      </c>
      <c r="G90" s="577">
        <v>1</v>
      </c>
      <c r="H90" s="577">
        <v>1</v>
      </c>
      <c r="I90" s="577" t="s">
        <v>1049</v>
      </c>
      <c r="J90" s="276" t="s">
        <v>824</v>
      </c>
      <c r="K90" s="276" t="s">
        <v>824</v>
      </c>
      <c r="L90" s="276" t="s">
        <v>824</v>
      </c>
      <c r="M90" s="276" t="s">
        <v>824</v>
      </c>
      <c r="N90" s="580"/>
      <c r="O90" s="580"/>
      <c r="P90" s="580" t="s">
        <v>670</v>
      </c>
      <c r="Q90" s="573" t="str">
        <f t="shared" si="67"/>
        <v>M18</v>
      </c>
      <c r="R90" s="656">
        <v>0</v>
      </c>
      <c r="S90" s="657">
        <v>600</v>
      </c>
      <c r="T90" s="656">
        <v>0</v>
      </c>
      <c r="U90" s="651">
        <v>0</v>
      </c>
      <c r="V90" s="652">
        <v>0.53</v>
      </c>
      <c r="W90" s="656">
        <v>0</v>
      </c>
      <c r="X90" s="656">
        <v>0</v>
      </c>
      <c r="Y90" s="656">
        <v>0</v>
      </c>
      <c r="Z90" s="657">
        <v>10</v>
      </c>
      <c r="AA90" s="656">
        <v>0</v>
      </c>
      <c r="AB90" s="656">
        <v>0</v>
      </c>
      <c r="AC90" s="657">
        <v>5</v>
      </c>
      <c r="AD90" s="656">
        <v>0</v>
      </c>
      <c r="AE90" s="656">
        <v>0</v>
      </c>
      <c r="AF90" s="656">
        <v>0</v>
      </c>
      <c r="AG90" s="656">
        <v>0</v>
      </c>
      <c r="AH90" s="656">
        <v>0</v>
      </c>
      <c r="AI90" s="656">
        <v>0</v>
      </c>
      <c r="AJ90" s="657">
        <v>4</v>
      </c>
      <c r="AK90" s="656">
        <v>0</v>
      </c>
      <c r="AL90" s="657">
        <v>10</v>
      </c>
      <c r="AM90" s="656">
        <v>0</v>
      </c>
      <c r="AN90" s="664">
        <f t="shared" si="68"/>
        <v>1</v>
      </c>
      <c r="AO90" s="664">
        <f t="shared" si="69"/>
        <v>1</v>
      </c>
      <c r="AP90" s="664">
        <f t="shared" si="70"/>
        <v>1</v>
      </c>
      <c r="AQ90" s="664">
        <f t="shared" si="71"/>
        <v>1</v>
      </c>
      <c r="AR90" s="664">
        <f t="shared" si="72"/>
        <v>3</v>
      </c>
      <c r="AS90" s="664">
        <f t="shared" si="73"/>
        <v>1</v>
      </c>
      <c r="AT90" s="664">
        <f t="shared" si="74"/>
        <v>1</v>
      </c>
      <c r="AU90" s="664">
        <f t="shared" si="75"/>
        <v>1</v>
      </c>
      <c r="AV90" s="664">
        <f t="shared" si="76"/>
        <v>10</v>
      </c>
      <c r="AW90" s="664">
        <f t="shared" si="77"/>
        <v>1</v>
      </c>
      <c r="AX90" s="664">
        <f t="shared" si="78"/>
        <v>1</v>
      </c>
      <c r="AY90" s="664">
        <f t="shared" si="79"/>
        <v>5</v>
      </c>
      <c r="AZ90" s="664">
        <f t="shared" si="80"/>
        <v>1</v>
      </c>
      <c r="BA90" s="664">
        <f t="shared" si="81"/>
        <v>1</v>
      </c>
      <c r="BB90" s="664">
        <f t="shared" si="82"/>
        <v>1</v>
      </c>
      <c r="BC90" s="664">
        <f t="shared" si="83"/>
        <v>1</v>
      </c>
      <c r="BD90" s="664">
        <f t="shared" si="84"/>
        <v>1</v>
      </c>
      <c r="BE90" s="664">
        <f t="shared" si="85"/>
        <v>1</v>
      </c>
      <c r="BF90" s="664">
        <f t="shared" si="86"/>
        <v>3</v>
      </c>
      <c r="BG90" s="664">
        <f t="shared" si="87"/>
        <v>1</v>
      </c>
      <c r="BH90" s="664">
        <f t="shared" si="88"/>
        <v>10</v>
      </c>
      <c r="BI90" s="1009">
        <f t="shared" si="89"/>
        <v>1</v>
      </c>
      <c r="BJ90" s="1020">
        <f t="shared" si="90"/>
        <v>2.1</v>
      </c>
      <c r="BK90" s="931">
        <f t="shared" si="91"/>
        <v>2.6666666666666665</v>
      </c>
      <c r="BL90" s="931">
        <f t="shared" si="92"/>
        <v>1.5</v>
      </c>
      <c r="BM90" s="931">
        <f t="shared" si="93"/>
        <v>5.0400000000000009</v>
      </c>
      <c r="BN90" s="931">
        <f t="shared" si="94"/>
        <v>1.4000000000000001</v>
      </c>
      <c r="BO90" s="931">
        <f t="shared" si="95"/>
        <v>1.666666666666667</v>
      </c>
      <c r="BP90" s="1021">
        <f t="shared" si="96"/>
        <v>4</v>
      </c>
      <c r="BQ90" s="1011">
        <f t="shared" si="97"/>
        <v>18.373333333333335</v>
      </c>
      <c r="BR90" s="668">
        <f t="shared" si="98"/>
        <v>87</v>
      </c>
      <c r="BS90" s="944" t="s">
        <v>376</v>
      </c>
      <c r="BT90" s="941" t="s">
        <v>376</v>
      </c>
      <c r="BU90" s="634" t="s">
        <v>1259</v>
      </c>
      <c r="BV90" s="1047" t="str">
        <f>VLOOKUP($B90,Tiers!$A:$K,11,FALSE)</f>
        <v>Tier 2</v>
      </c>
      <c r="BW90" s="670"/>
    </row>
    <row r="91" spans="1:75" x14ac:dyDescent="0.25">
      <c r="A91" s="641">
        <v>59</v>
      </c>
      <c r="B91" s="600" t="s">
        <v>932</v>
      </c>
      <c r="C91" s="574" t="s">
        <v>37</v>
      </c>
      <c r="D91" s="576" t="s">
        <v>979</v>
      </c>
      <c r="E91" s="576" t="s">
        <v>855</v>
      </c>
      <c r="F91" s="576" t="s">
        <v>1065</v>
      </c>
      <c r="G91" s="578">
        <v>1496</v>
      </c>
      <c r="H91" s="579">
        <f>G91/5280</f>
        <v>0.28333333333333333</v>
      </c>
      <c r="I91" s="576" t="s">
        <v>1481</v>
      </c>
      <c r="J91" s="580" t="s">
        <v>824</v>
      </c>
      <c r="K91" s="580"/>
      <c r="L91" s="580"/>
      <c r="M91" s="580"/>
      <c r="N91" s="581">
        <v>2</v>
      </c>
      <c r="O91" s="581">
        <v>2</v>
      </c>
      <c r="P91" s="583" t="s">
        <v>670</v>
      </c>
      <c r="Q91" s="573" t="str">
        <f t="shared" si="67"/>
        <v>M104</v>
      </c>
      <c r="R91" s="656">
        <v>0</v>
      </c>
      <c r="S91" s="657">
        <v>30</v>
      </c>
      <c r="T91" s="656">
        <v>0</v>
      </c>
      <c r="U91" s="651">
        <v>0</v>
      </c>
      <c r="V91" s="652">
        <v>1.1599999999999999</v>
      </c>
      <c r="W91" s="656">
        <v>0</v>
      </c>
      <c r="X91" s="656">
        <v>0</v>
      </c>
      <c r="Y91" s="656">
        <v>0</v>
      </c>
      <c r="Z91" s="657">
        <v>10</v>
      </c>
      <c r="AA91" s="656">
        <v>0</v>
      </c>
      <c r="AB91" s="656">
        <v>0</v>
      </c>
      <c r="AC91" s="656">
        <v>0</v>
      </c>
      <c r="AD91" s="656">
        <v>0</v>
      </c>
      <c r="AE91" s="656">
        <v>0</v>
      </c>
      <c r="AF91" s="656">
        <v>0</v>
      </c>
      <c r="AG91" s="656">
        <v>0</v>
      </c>
      <c r="AH91" s="656">
        <v>0</v>
      </c>
      <c r="AI91" s="656">
        <v>0</v>
      </c>
      <c r="AJ91" s="657">
        <v>6</v>
      </c>
      <c r="AK91" s="656">
        <v>0</v>
      </c>
      <c r="AL91" s="656">
        <v>0</v>
      </c>
      <c r="AM91" s="656">
        <v>0</v>
      </c>
      <c r="AN91" s="664">
        <f t="shared" si="68"/>
        <v>1</v>
      </c>
      <c r="AO91" s="664">
        <f t="shared" si="69"/>
        <v>1</v>
      </c>
      <c r="AP91" s="664">
        <f t="shared" si="70"/>
        <v>1</v>
      </c>
      <c r="AQ91" s="664">
        <f t="shared" si="71"/>
        <v>1</v>
      </c>
      <c r="AR91" s="664">
        <f t="shared" si="72"/>
        <v>7</v>
      </c>
      <c r="AS91" s="664">
        <f t="shared" si="73"/>
        <v>1</v>
      </c>
      <c r="AT91" s="664">
        <f t="shared" si="74"/>
        <v>1</v>
      </c>
      <c r="AU91" s="664">
        <f t="shared" si="75"/>
        <v>1</v>
      </c>
      <c r="AV91" s="664">
        <f t="shared" si="76"/>
        <v>10</v>
      </c>
      <c r="AW91" s="664">
        <f t="shared" si="77"/>
        <v>1</v>
      </c>
      <c r="AX91" s="664">
        <f t="shared" si="78"/>
        <v>1</v>
      </c>
      <c r="AY91" s="664">
        <f t="shared" si="79"/>
        <v>1</v>
      </c>
      <c r="AZ91" s="664">
        <f t="shared" si="80"/>
        <v>1</v>
      </c>
      <c r="BA91" s="664">
        <f t="shared" si="81"/>
        <v>1</v>
      </c>
      <c r="BB91" s="664">
        <f t="shared" si="82"/>
        <v>1</v>
      </c>
      <c r="BC91" s="664">
        <f t="shared" si="83"/>
        <v>1</v>
      </c>
      <c r="BD91" s="664">
        <f t="shared" si="84"/>
        <v>1</v>
      </c>
      <c r="BE91" s="664">
        <f t="shared" si="85"/>
        <v>1</v>
      </c>
      <c r="BF91" s="664">
        <f t="shared" si="86"/>
        <v>8</v>
      </c>
      <c r="BG91" s="664">
        <f t="shared" si="87"/>
        <v>1</v>
      </c>
      <c r="BH91" s="664">
        <f t="shared" si="88"/>
        <v>1</v>
      </c>
      <c r="BI91" s="1009">
        <f t="shared" si="89"/>
        <v>1</v>
      </c>
      <c r="BJ91" s="1020">
        <f t="shared" si="90"/>
        <v>2.1</v>
      </c>
      <c r="BK91" s="931">
        <f t="shared" si="91"/>
        <v>4.8</v>
      </c>
      <c r="BL91" s="931">
        <f t="shared" si="92"/>
        <v>1.5</v>
      </c>
      <c r="BM91" s="931">
        <f t="shared" si="93"/>
        <v>3.92</v>
      </c>
      <c r="BN91" s="931">
        <f t="shared" si="94"/>
        <v>1.4000000000000001</v>
      </c>
      <c r="BO91" s="931">
        <f t="shared" si="95"/>
        <v>3.3333333333333339</v>
      </c>
      <c r="BP91" s="1021">
        <f t="shared" si="96"/>
        <v>1</v>
      </c>
      <c r="BQ91" s="1011">
        <f t="shared" si="97"/>
        <v>18.053333333333335</v>
      </c>
      <c r="BR91" s="668">
        <f t="shared" si="98"/>
        <v>88</v>
      </c>
      <c r="BS91" s="942" t="s">
        <v>376</v>
      </c>
      <c r="BT91" s="941" t="s">
        <v>376</v>
      </c>
      <c r="BU91" s="634" t="s">
        <v>1259</v>
      </c>
      <c r="BV91" s="1048" t="str">
        <f>VLOOKUP($B91,Tiers!$A:$K,11,FALSE)</f>
        <v>Tier 4</v>
      </c>
      <c r="BW91" s="670"/>
    </row>
    <row r="92" spans="1:75" ht="13.8" x14ac:dyDescent="0.3">
      <c r="A92" s="640">
        <v>110</v>
      </c>
      <c r="B92" s="600" t="s">
        <v>945</v>
      </c>
      <c r="C92" s="574" t="s">
        <v>360</v>
      </c>
      <c r="D92" s="32" t="s">
        <v>1658</v>
      </c>
      <c r="E92" s="576" t="s">
        <v>781</v>
      </c>
      <c r="F92" s="576" t="s">
        <v>1035</v>
      </c>
      <c r="G92" s="578">
        <v>4081.6595029999999</v>
      </c>
      <c r="H92" s="579">
        <f>G92/5280</f>
        <v>0.77304157253787875</v>
      </c>
      <c r="I92" s="576" t="s">
        <v>343</v>
      </c>
      <c r="J92" s="580" t="s">
        <v>824</v>
      </c>
      <c r="K92" s="580"/>
      <c r="L92" s="580"/>
      <c r="M92" s="580"/>
      <c r="N92" s="581" t="s">
        <v>262</v>
      </c>
      <c r="O92" s="581">
        <v>2</v>
      </c>
      <c r="P92" s="583" t="s">
        <v>779</v>
      </c>
      <c r="Q92" s="573" t="str">
        <f t="shared" si="67"/>
        <v>C10</v>
      </c>
      <c r="R92" s="656">
        <v>0</v>
      </c>
      <c r="S92" s="656">
        <v>0</v>
      </c>
      <c r="T92" s="655">
        <v>10</v>
      </c>
      <c r="U92" s="649">
        <v>0</v>
      </c>
      <c r="V92" s="649">
        <v>0</v>
      </c>
      <c r="W92" s="654">
        <v>0</v>
      </c>
      <c r="X92" s="654">
        <v>0</v>
      </c>
      <c r="Y92" s="654">
        <v>0</v>
      </c>
      <c r="Z92" s="654">
        <v>0</v>
      </c>
      <c r="AA92" s="654">
        <v>0</v>
      </c>
      <c r="AB92" s="654">
        <v>0</v>
      </c>
      <c r="AC92" s="656">
        <v>0</v>
      </c>
      <c r="AD92" s="654">
        <v>0</v>
      </c>
      <c r="AE92" s="654">
        <v>0</v>
      </c>
      <c r="AF92" s="656">
        <v>0</v>
      </c>
      <c r="AG92" s="654">
        <v>0</v>
      </c>
      <c r="AH92" s="654">
        <v>0</v>
      </c>
      <c r="AI92" s="656">
        <v>0</v>
      </c>
      <c r="AJ92" s="657">
        <v>5</v>
      </c>
      <c r="AK92" s="654">
        <v>0</v>
      </c>
      <c r="AL92" s="656">
        <v>0</v>
      </c>
      <c r="AM92" s="656">
        <v>0</v>
      </c>
      <c r="AN92" s="664">
        <f t="shared" si="68"/>
        <v>1</v>
      </c>
      <c r="AO92" s="664">
        <f t="shared" si="69"/>
        <v>1</v>
      </c>
      <c r="AP92" s="664">
        <f t="shared" si="70"/>
        <v>10</v>
      </c>
      <c r="AQ92" s="664">
        <f t="shared" si="71"/>
        <v>1</v>
      </c>
      <c r="AR92" s="664">
        <f t="shared" si="72"/>
        <v>1</v>
      </c>
      <c r="AS92" s="664">
        <f t="shared" si="73"/>
        <v>1</v>
      </c>
      <c r="AT92" s="664">
        <f t="shared" si="74"/>
        <v>1</v>
      </c>
      <c r="AU92" s="664">
        <f t="shared" si="75"/>
        <v>1</v>
      </c>
      <c r="AV92" s="664">
        <f t="shared" si="76"/>
        <v>1</v>
      </c>
      <c r="AW92" s="664">
        <f t="shared" si="77"/>
        <v>1</v>
      </c>
      <c r="AX92" s="664">
        <f t="shared" si="78"/>
        <v>1</v>
      </c>
      <c r="AY92" s="664">
        <f t="shared" si="79"/>
        <v>1</v>
      </c>
      <c r="AZ92" s="664">
        <f t="shared" si="80"/>
        <v>1</v>
      </c>
      <c r="BA92" s="664">
        <f t="shared" si="81"/>
        <v>1</v>
      </c>
      <c r="BB92" s="664">
        <f t="shared" si="82"/>
        <v>1</v>
      </c>
      <c r="BC92" s="664">
        <f t="shared" si="83"/>
        <v>1</v>
      </c>
      <c r="BD92" s="664">
        <f t="shared" si="84"/>
        <v>1</v>
      </c>
      <c r="BE92" s="664">
        <f t="shared" si="85"/>
        <v>1</v>
      </c>
      <c r="BF92" s="664">
        <f t="shared" si="86"/>
        <v>5</v>
      </c>
      <c r="BG92" s="664">
        <f t="shared" si="87"/>
        <v>1</v>
      </c>
      <c r="BH92" s="664">
        <f t="shared" si="88"/>
        <v>1</v>
      </c>
      <c r="BI92" s="1009">
        <f t="shared" si="89"/>
        <v>1</v>
      </c>
      <c r="BJ92" s="1020">
        <f t="shared" si="90"/>
        <v>8.4</v>
      </c>
      <c r="BK92" s="931">
        <f t="shared" si="91"/>
        <v>1.6</v>
      </c>
      <c r="BL92" s="931">
        <f t="shared" si="92"/>
        <v>1.5</v>
      </c>
      <c r="BM92" s="931">
        <f t="shared" si="93"/>
        <v>1.4000000000000001</v>
      </c>
      <c r="BN92" s="931">
        <f t="shared" si="94"/>
        <v>1.4000000000000001</v>
      </c>
      <c r="BO92" s="931">
        <f t="shared" si="95"/>
        <v>2.3333333333333335</v>
      </c>
      <c r="BP92" s="1021">
        <f t="shared" si="96"/>
        <v>1</v>
      </c>
      <c r="BQ92" s="1011">
        <f t="shared" si="97"/>
        <v>17.633333333333333</v>
      </c>
      <c r="BR92" s="668">
        <f t="shared" si="98"/>
        <v>89</v>
      </c>
      <c r="BS92" s="942" t="s">
        <v>376</v>
      </c>
      <c r="BT92" s="941" t="s">
        <v>376</v>
      </c>
      <c r="BU92" s="634" t="s">
        <v>1259</v>
      </c>
      <c r="BV92" s="1044" t="str">
        <f>VLOOKUP($B92,Tiers!$A:$K,11,FALSE)</f>
        <v>AFD</v>
      </c>
      <c r="BW92" s="670"/>
    </row>
    <row r="93" spans="1:75" x14ac:dyDescent="0.25">
      <c r="A93" s="641">
        <v>62</v>
      </c>
      <c r="B93" s="600" t="s">
        <v>935</v>
      </c>
      <c r="C93" s="574" t="s">
        <v>37</v>
      </c>
      <c r="D93" s="576" t="s">
        <v>978</v>
      </c>
      <c r="E93" s="576" t="s">
        <v>981</v>
      </c>
      <c r="F93" s="576" t="s">
        <v>982</v>
      </c>
      <c r="G93" s="578">
        <v>6979.0732099999996</v>
      </c>
      <c r="H93" s="579">
        <f>G93/5280</f>
        <v>1.3217941685606061</v>
      </c>
      <c r="I93" s="576" t="s">
        <v>1481</v>
      </c>
      <c r="J93" s="580" t="s">
        <v>824</v>
      </c>
      <c r="K93" s="580"/>
      <c r="L93" s="580"/>
      <c r="M93" s="580"/>
      <c r="N93" s="581">
        <v>2</v>
      </c>
      <c r="O93" s="581">
        <v>2</v>
      </c>
      <c r="P93" s="583" t="s">
        <v>670</v>
      </c>
      <c r="Q93" s="573" t="str">
        <f t="shared" si="67"/>
        <v>M107</v>
      </c>
      <c r="R93" s="656">
        <v>0</v>
      </c>
      <c r="S93" s="657">
        <v>70</v>
      </c>
      <c r="T93" s="656">
        <v>0</v>
      </c>
      <c r="U93" s="652">
        <v>1.05</v>
      </c>
      <c r="V93" s="652">
        <v>1.35</v>
      </c>
      <c r="W93" s="658">
        <v>5</v>
      </c>
      <c r="X93" s="656">
        <v>0</v>
      </c>
      <c r="Y93" s="656">
        <v>0</v>
      </c>
      <c r="Z93" s="656">
        <v>0</v>
      </c>
      <c r="AA93" s="656">
        <v>0</v>
      </c>
      <c r="AB93" s="656">
        <v>0</v>
      </c>
      <c r="AC93" s="656">
        <v>0</v>
      </c>
      <c r="AD93" s="656">
        <v>0</v>
      </c>
      <c r="AE93" s="656">
        <v>0</v>
      </c>
      <c r="AF93" s="656">
        <v>0</v>
      </c>
      <c r="AG93" s="656">
        <v>0</v>
      </c>
      <c r="AH93" s="656">
        <v>0</v>
      </c>
      <c r="AI93" s="656">
        <v>0</v>
      </c>
      <c r="AJ93" s="657">
        <v>4</v>
      </c>
      <c r="AK93" s="656">
        <v>0</v>
      </c>
      <c r="AL93" s="656">
        <v>0</v>
      </c>
      <c r="AM93" s="656">
        <v>0</v>
      </c>
      <c r="AN93" s="664">
        <f t="shared" si="68"/>
        <v>1</v>
      </c>
      <c r="AO93" s="664">
        <f t="shared" si="69"/>
        <v>1</v>
      </c>
      <c r="AP93" s="664">
        <f t="shared" si="70"/>
        <v>1</v>
      </c>
      <c r="AQ93" s="664">
        <f t="shared" si="71"/>
        <v>2</v>
      </c>
      <c r="AR93" s="664">
        <f t="shared" si="72"/>
        <v>9</v>
      </c>
      <c r="AS93" s="664">
        <f t="shared" si="73"/>
        <v>5</v>
      </c>
      <c r="AT93" s="664">
        <f t="shared" si="74"/>
        <v>1</v>
      </c>
      <c r="AU93" s="664">
        <f t="shared" si="75"/>
        <v>1</v>
      </c>
      <c r="AV93" s="664">
        <f t="shared" si="76"/>
        <v>1</v>
      </c>
      <c r="AW93" s="664">
        <f t="shared" si="77"/>
        <v>1</v>
      </c>
      <c r="AX93" s="664">
        <f t="shared" si="78"/>
        <v>1</v>
      </c>
      <c r="AY93" s="664">
        <f t="shared" si="79"/>
        <v>1</v>
      </c>
      <c r="AZ93" s="664">
        <f t="shared" si="80"/>
        <v>1</v>
      </c>
      <c r="BA93" s="664">
        <f t="shared" si="81"/>
        <v>1</v>
      </c>
      <c r="BB93" s="664">
        <f t="shared" si="82"/>
        <v>1</v>
      </c>
      <c r="BC93" s="664">
        <f t="shared" si="83"/>
        <v>1</v>
      </c>
      <c r="BD93" s="664">
        <f t="shared" si="84"/>
        <v>1</v>
      </c>
      <c r="BE93" s="664">
        <f t="shared" si="85"/>
        <v>1</v>
      </c>
      <c r="BF93" s="664">
        <f t="shared" si="86"/>
        <v>3</v>
      </c>
      <c r="BG93" s="664">
        <f t="shared" si="87"/>
        <v>1</v>
      </c>
      <c r="BH93" s="664">
        <f t="shared" si="88"/>
        <v>1</v>
      </c>
      <c r="BI93" s="1009">
        <f t="shared" si="89"/>
        <v>1</v>
      </c>
      <c r="BJ93" s="1020">
        <f t="shared" si="90"/>
        <v>2.1</v>
      </c>
      <c r="BK93" s="931">
        <f t="shared" si="91"/>
        <v>8.5333333333333332</v>
      </c>
      <c r="BL93" s="931">
        <f t="shared" si="92"/>
        <v>1.5</v>
      </c>
      <c r="BM93" s="931">
        <f t="shared" si="93"/>
        <v>1.4000000000000001</v>
      </c>
      <c r="BN93" s="931">
        <f t="shared" si="94"/>
        <v>1.4000000000000001</v>
      </c>
      <c r="BO93" s="931">
        <f t="shared" si="95"/>
        <v>1.666666666666667</v>
      </c>
      <c r="BP93" s="1021">
        <f t="shared" si="96"/>
        <v>1</v>
      </c>
      <c r="BQ93" s="1011">
        <f t="shared" si="97"/>
        <v>17.600000000000001</v>
      </c>
      <c r="BR93" s="668">
        <f t="shared" si="98"/>
        <v>90</v>
      </c>
      <c r="BS93" s="942" t="s">
        <v>376</v>
      </c>
      <c r="BT93" s="941" t="s">
        <v>376</v>
      </c>
      <c r="BU93" s="634" t="s">
        <v>1259</v>
      </c>
      <c r="BV93" s="1048" t="str">
        <f>VLOOKUP($B93,Tiers!$A:$K,11,FALSE)</f>
        <v>Tier 4</v>
      </c>
      <c r="BW93" s="670"/>
    </row>
    <row r="94" spans="1:75" x14ac:dyDescent="0.25">
      <c r="A94" s="641">
        <v>71</v>
      </c>
      <c r="B94" s="600" t="s">
        <v>952</v>
      </c>
      <c r="C94" s="574" t="s">
        <v>37</v>
      </c>
      <c r="D94" s="576" t="s">
        <v>1078</v>
      </c>
      <c r="E94" s="576" t="s">
        <v>1075</v>
      </c>
      <c r="F94" s="576" t="s">
        <v>1076</v>
      </c>
      <c r="G94" s="578">
        <v>9800</v>
      </c>
      <c r="H94" s="579">
        <f>G94/5280</f>
        <v>1.856060606060606</v>
      </c>
      <c r="I94" s="576" t="s">
        <v>1643</v>
      </c>
      <c r="J94" s="580"/>
      <c r="K94" s="580" t="s">
        <v>824</v>
      </c>
      <c r="L94" s="580" t="s">
        <v>824</v>
      </c>
      <c r="M94" s="580"/>
      <c r="N94" s="582" t="s">
        <v>262</v>
      </c>
      <c r="O94" s="581" t="s">
        <v>262</v>
      </c>
      <c r="P94" s="583" t="s">
        <v>670</v>
      </c>
      <c r="Q94" s="573" t="str">
        <f t="shared" si="67"/>
        <v>M119</v>
      </c>
      <c r="R94" s="656">
        <v>0</v>
      </c>
      <c r="S94" s="656">
        <v>0</v>
      </c>
      <c r="T94" s="656">
        <v>0</v>
      </c>
      <c r="U94" s="652">
        <v>1.1000000000000001</v>
      </c>
      <c r="V94" s="651">
        <v>0</v>
      </c>
      <c r="W94" s="656">
        <v>0</v>
      </c>
      <c r="X94" s="656">
        <v>0</v>
      </c>
      <c r="Y94" s="656">
        <v>0</v>
      </c>
      <c r="Z94" s="656">
        <v>0</v>
      </c>
      <c r="AA94" s="656">
        <v>0</v>
      </c>
      <c r="AB94" s="657">
        <v>5</v>
      </c>
      <c r="AC94" s="656">
        <v>0</v>
      </c>
      <c r="AD94" s="656">
        <v>0</v>
      </c>
      <c r="AE94" s="657">
        <v>5</v>
      </c>
      <c r="AF94" s="656">
        <v>0</v>
      </c>
      <c r="AG94" s="656">
        <v>0</v>
      </c>
      <c r="AH94" s="656">
        <v>0</v>
      </c>
      <c r="AI94" s="656">
        <v>0</v>
      </c>
      <c r="AJ94" s="657">
        <v>4</v>
      </c>
      <c r="AK94" s="656">
        <v>0</v>
      </c>
      <c r="AL94" s="656">
        <v>0</v>
      </c>
      <c r="AM94" s="656">
        <v>0</v>
      </c>
      <c r="AN94" s="664">
        <f t="shared" si="68"/>
        <v>1</v>
      </c>
      <c r="AO94" s="664">
        <f t="shared" si="69"/>
        <v>1</v>
      </c>
      <c r="AP94" s="664">
        <f t="shared" si="70"/>
        <v>1</v>
      </c>
      <c r="AQ94" s="664">
        <f t="shared" si="71"/>
        <v>2</v>
      </c>
      <c r="AR94" s="664">
        <f t="shared" si="72"/>
        <v>1</v>
      </c>
      <c r="AS94" s="664">
        <f t="shared" si="73"/>
        <v>1</v>
      </c>
      <c r="AT94" s="664">
        <f t="shared" si="74"/>
        <v>1</v>
      </c>
      <c r="AU94" s="664">
        <f t="shared" si="75"/>
        <v>1</v>
      </c>
      <c r="AV94" s="664">
        <f t="shared" si="76"/>
        <v>1</v>
      </c>
      <c r="AW94" s="664">
        <f t="shared" si="77"/>
        <v>1</v>
      </c>
      <c r="AX94" s="664">
        <f t="shared" si="78"/>
        <v>5</v>
      </c>
      <c r="AY94" s="664">
        <f t="shared" si="79"/>
        <v>1</v>
      </c>
      <c r="AZ94" s="664">
        <f t="shared" si="80"/>
        <v>1</v>
      </c>
      <c r="BA94" s="664">
        <f t="shared" si="81"/>
        <v>5</v>
      </c>
      <c r="BB94" s="664">
        <f t="shared" si="82"/>
        <v>1</v>
      </c>
      <c r="BC94" s="664">
        <f t="shared" si="83"/>
        <v>1</v>
      </c>
      <c r="BD94" s="664">
        <f t="shared" si="84"/>
        <v>1</v>
      </c>
      <c r="BE94" s="664">
        <f t="shared" si="85"/>
        <v>1</v>
      </c>
      <c r="BF94" s="664">
        <f t="shared" si="86"/>
        <v>3</v>
      </c>
      <c r="BG94" s="664">
        <f t="shared" si="87"/>
        <v>1</v>
      </c>
      <c r="BH94" s="664">
        <f t="shared" si="88"/>
        <v>1</v>
      </c>
      <c r="BI94" s="1009">
        <f t="shared" si="89"/>
        <v>1</v>
      </c>
      <c r="BJ94" s="1020">
        <f t="shared" si="90"/>
        <v>2.1</v>
      </c>
      <c r="BK94" s="931">
        <f t="shared" si="91"/>
        <v>2.1333333333333333</v>
      </c>
      <c r="BL94" s="931">
        <f t="shared" si="92"/>
        <v>1.5</v>
      </c>
      <c r="BM94" s="931">
        <f t="shared" si="93"/>
        <v>2.5200000000000005</v>
      </c>
      <c r="BN94" s="931">
        <f t="shared" si="94"/>
        <v>3.2666666666666671</v>
      </c>
      <c r="BO94" s="931">
        <f t="shared" si="95"/>
        <v>1.666666666666667</v>
      </c>
      <c r="BP94" s="1021">
        <f t="shared" si="96"/>
        <v>1</v>
      </c>
      <c r="BQ94" s="1011">
        <f t="shared" si="97"/>
        <v>14.186666666666667</v>
      </c>
      <c r="BR94" s="668">
        <f t="shared" si="98"/>
        <v>91</v>
      </c>
      <c r="BS94" s="942" t="s">
        <v>376</v>
      </c>
      <c r="BT94" s="941" t="s">
        <v>376</v>
      </c>
      <c r="BU94" s="634" t="s">
        <v>1259</v>
      </c>
      <c r="BV94" s="1048" t="str">
        <f>VLOOKUP($B94,Tiers!$A:$K,11,FALSE)</f>
        <v>Tier 4</v>
      </c>
      <c r="BW94" s="670"/>
    </row>
    <row r="95" spans="1:75" x14ac:dyDescent="0.25">
      <c r="BJ95" s="1022"/>
      <c r="BK95" s="993"/>
      <c r="BL95" s="993"/>
      <c r="BM95" s="993"/>
      <c r="BN95" s="993"/>
      <c r="BO95" s="993"/>
      <c r="BP95" s="1023"/>
    </row>
    <row r="96" spans="1:75" x14ac:dyDescent="0.25">
      <c r="BJ96" s="1022"/>
      <c r="BK96" s="993"/>
      <c r="BL96" s="993"/>
      <c r="BM96" s="993"/>
      <c r="BN96" s="993"/>
      <c r="BO96" s="993"/>
      <c r="BP96" s="1023"/>
    </row>
    <row r="97" spans="1:75" x14ac:dyDescent="0.25">
      <c r="BJ97" s="1022"/>
      <c r="BK97" s="993"/>
      <c r="BL97" s="993"/>
      <c r="BM97" s="993"/>
      <c r="BN97" s="993"/>
      <c r="BO97" s="993"/>
      <c r="BP97" s="1023"/>
    </row>
    <row r="98" spans="1:75" x14ac:dyDescent="0.25">
      <c r="BJ98" s="1022"/>
      <c r="BK98" s="993"/>
      <c r="BL98" s="993"/>
      <c r="BM98" s="993"/>
      <c r="BN98" s="993"/>
      <c r="BO98" s="993"/>
      <c r="BP98" s="1023"/>
    </row>
    <row r="99" spans="1:75" x14ac:dyDescent="0.25">
      <c r="BJ99" s="1022"/>
      <c r="BK99" s="993"/>
      <c r="BL99" s="993"/>
      <c r="BM99" s="993"/>
      <c r="BN99" s="993"/>
      <c r="BO99" s="993"/>
      <c r="BP99" s="1023"/>
    </row>
    <row r="100" spans="1:75" x14ac:dyDescent="0.25">
      <c r="BJ100" s="1022"/>
      <c r="BK100" s="993"/>
      <c r="BL100" s="993"/>
      <c r="BM100" s="993"/>
      <c r="BN100" s="993"/>
      <c r="BO100" s="993"/>
      <c r="BP100" s="1023"/>
    </row>
    <row r="101" spans="1:75" x14ac:dyDescent="0.25">
      <c r="BJ101" s="1022"/>
      <c r="BK101" s="993"/>
      <c r="BL101" s="993"/>
      <c r="BM101" s="993"/>
      <c r="BN101" s="993"/>
      <c r="BO101" s="993"/>
      <c r="BP101" s="1023"/>
    </row>
    <row r="102" spans="1:75" x14ac:dyDescent="0.25">
      <c r="BJ102" s="1022"/>
      <c r="BK102" s="993"/>
      <c r="BL102" s="993"/>
      <c r="BM102" s="993"/>
      <c r="BN102" s="993"/>
      <c r="BO102" s="993"/>
      <c r="BP102" s="1023"/>
    </row>
    <row r="103" spans="1:75" x14ac:dyDescent="0.25">
      <c r="A103" s="896"/>
      <c r="B103" s="897"/>
      <c r="C103" s="897"/>
      <c r="D103" s="897"/>
      <c r="E103" s="897"/>
      <c r="F103" s="897"/>
      <c r="G103" s="897"/>
      <c r="H103" s="897"/>
      <c r="I103" s="897"/>
      <c r="J103" s="898"/>
      <c r="K103" s="898"/>
      <c r="L103" s="898"/>
      <c r="M103" s="898"/>
      <c r="N103" s="899"/>
      <c r="O103" s="899"/>
      <c r="P103" s="900"/>
      <c r="Q103" s="897"/>
      <c r="R103" s="897"/>
      <c r="S103" s="897"/>
      <c r="T103" s="897"/>
      <c r="U103" s="901"/>
      <c r="V103" s="901"/>
      <c r="W103" s="897"/>
      <c r="X103" s="897"/>
      <c r="Y103" s="897"/>
      <c r="Z103" s="897"/>
      <c r="AA103" s="897"/>
      <c r="AB103" s="897"/>
      <c r="AC103" s="897"/>
      <c r="AD103" s="897"/>
      <c r="AE103" s="897"/>
      <c r="AF103" s="897"/>
      <c r="AG103" s="897"/>
      <c r="AH103" s="897"/>
      <c r="AI103" s="897"/>
      <c r="AJ103" s="897"/>
      <c r="AK103" s="897"/>
      <c r="AL103" s="897"/>
      <c r="AM103" s="897"/>
      <c r="AN103" s="897"/>
      <c r="AO103" s="897"/>
      <c r="AP103" s="897"/>
      <c r="AQ103" s="897"/>
      <c r="AR103" s="897"/>
      <c r="AS103" s="897"/>
      <c r="AT103" s="897"/>
      <c r="AU103" s="897"/>
      <c r="AV103" s="897"/>
      <c r="AW103" s="897"/>
      <c r="AX103" s="897"/>
      <c r="AY103" s="897"/>
      <c r="AZ103" s="897"/>
      <c r="BA103" s="897"/>
      <c r="BB103" s="897"/>
      <c r="BC103" s="897"/>
      <c r="BD103" s="897"/>
      <c r="BE103" s="897"/>
      <c r="BF103" s="897"/>
      <c r="BG103" s="897"/>
      <c r="BH103" s="897"/>
      <c r="BI103" s="897"/>
      <c r="BJ103" s="1024"/>
      <c r="BK103" s="1025"/>
      <c r="BL103" s="1025"/>
      <c r="BM103" s="1025"/>
      <c r="BN103" s="1025"/>
      <c r="BO103" s="1025"/>
      <c r="BP103" s="1026"/>
      <c r="BQ103" s="934"/>
      <c r="BR103" s="903"/>
      <c r="BS103" s="945"/>
      <c r="BT103" s="946"/>
      <c r="BU103" s="897"/>
      <c r="BV103" s="897"/>
      <c r="BW103" s="902"/>
    </row>
    <row r="104" spans="1:75" x14ac:dyDescent="0.25">
      <c r="BJ104" s="1022"/>
      <c r="BK104" s="993"/>
      <c r="BL104" s="993"/>
      <c r="BM104" s="993"/>
      <c r="BN104" s="993"/>
      <c r="BO104" s="993"/>
      <c r="BP104" s="1023"/>
    </row>
    <row r="105" spans="1:75" x14ac:dyDescent="0.25">
      <c r="D105" s="633" t="s">
        <v>1345</v>
      </c>
      <c r="BJ105" s="1022"/>
      <c r="BK105" s="993"/>
      <c r="BL105" s="993"/>
      <c r="BM105" s="993"/>
      <c r="BN105" s="993"/>
      <c r="BO105" s="993"/>
      <c r="BP105" s="1023"/>
    </row>
    <row r="106" spans="1:75" x14ac:dyDescent="0.25">
      <c r="A106" s="641">
        <v>5</v>
      </c>
      <c r="B106" s="574" t="s">
        <v>1107</v>
      </c>
      <c r="C106" s="574" t="s">
        <v>197</v>
      </c>
      <c r="D106" s="577" t="s">
        <v>757</v>
      </c>
      <c r="E106" s="577" t="s">
        <v>723</v>
      </c>
      <c r="F106" s="577" t="s">
        <v>724</v>
      </c>
      <c r="G106" s="577">
        <v>1</v>
      </c>
      <c r="H106" s="577">
        <v>1</v>
      </c>
      <c r="I106" s="577" t="s">
        <v>1049</v>
      </c>
      <c r="J106" s="276" t="s">
        <v>824</v>
      </c>
      <c r="K106" s="276" t="s">
        <v>824</v>
      </c>
      <c r="L106" s="276" t="s">
        <v>824</v>
      </c>
      <c r="M106" s="276" t="s">
        <v>824</v>
      </c>
      <c r="N106" s="580"/>
      <c r="O106" s="580"/>
      <c r="P106" s="580" t="s">
        <v>670</v>
      </c>
      <c r="Q106" s="574" t="s">
        <v>1107</v>
      </c>
      <c r="R106" s="656">
        <v>0</v>
      </c>
      <c r="S106" s="657">
        <v>7700</v>
      </c>
      <c r="T106" s="654">
        <v>0</v>
      </c>
      <c r="U106" s="652">
        <v>2.4500000000000002</v>
      </c>
      <c r="V106" s="652">
        <v>1.36</v>
      </c>
      <c r="W106" s="656">
        <v>0</v>
      </c>
      <c r="X106" s="657">
        <v>10</v>
      </c>
      <c r="Y106" s="657">
        <v>10</v>
      </c>
      <c r="Z106" s="657">
        <v>10</v>
      </c>
      <c r="AA106" s="654">
        <v>0</v>
      </c>
      <c r="AB106" s="654">
        <v>0</v>
      </c>
      <c r="AC106" s="655">
        <v>5</v>
      </c>
      <c r="AD106" s="655">
        <v>10</v>
      </c>
      <c r="AE106" s="655">
        <v>10</v>
      </c>
      <c r="AF106" s="654">
        <v>0</v>
      </c>
      <c r="AG106" s="654">
        <v>0</v>
      </c>
      <c r="AH106" s="654">
        <v>0</v>
      </c>
      <c r="AI106" s="656">
        <v>0</v>
      </c>
      <c r="AJ106" s="657">
        <v>3</v>
      </c>
      <c r="AK106" s="655">
        <v>10</v>
      </c>
      <c r="AL106" s="655">
        <v>10</v>
      </c>
      <c r="AM106" s="654">
        <v>0</v>
      </c>
      <c r="AN106" s="664">
        <f t="shared" ref="AN106:AW107" si="100">ROUND(IF((10*(R106-MIN(R$4:R$94))/(MAX(R$4:R$94)-MIN(R$4:R$94)))&lt;0.5,1,(10*(R106-MIN(R$4:R$94))/(MAX(R$4:R$94)-MIN(R$4:R$94)))),0)</f>
        <v>1</v>
      </c>
      <c r="AO106" s="664">
        <f t="shared" si="100"/>
        <v>10</v>
      </c>
      <c r="AP106" s="664">
        <f t="shared" si="100"/>
        <v>1</v>
      </c>
      <c r="AQ106" s="664">
        <f t="shared" si="100"/>
        <v>5</v>
      </c>
      <c r="AR106" s="664">
        <f t="shared" si="100"/>
        <v>9</v>
      </c>
      <c r="AS106" s="664">
        <f t="shared" si="100"/>
        <v>1</v>
      </c>
      <c r="AT106" s="664">
        <f t="shared" si="100"/>
        <v>10</v>
      </c>
      <c r="AU106" s="664">
        <f t="shared" si="100"/>
        <v>10</v>
      </c>
      <c r="AV106" s="664">
        <f t="shared" si="100"/>
        <v>10</v>
      </c>
      <c r="AW106" s="664">
        <f t="shared" si="100"/>
        <v>1</v>
      </c>
      <c r="AX106" s="664">
        <f t="shared" ref="AX106:BG107" si="101">ROUND(IF((10*(AB106-MIN(AB$4:AB$94))/(MAX(AB$4:AB$94)-MIN(AB$4:AB$94)))&lt;0.5,1,(10*(AB106-MIN(AB$4:AB$94))/(MAX(AB$4:AB$94)-MIN(AB$4:AB$94)))),0)</f>
        <v>1</v>
      </c>
      <c r="AY106" s="664">
        <f t="shared" si="101"/>
        <v>5</v>
      </c>
      <c r="AZ106" s="664">
        <f t="shared" si="101"/>
        <v>10</v>
      </c>
      <c r="BA106" s="664">
        <f t="shared" si="101"/>
        <v>10</v>
      </c>
      <c r="BB106" s="664">
        <f t="shared" si="101"/>
        <v>1</v>
      </c>
      <c r="BC106" s="664">
        <f t="shared" si="101"/>
        <v>1</v>
      </c>
      <c r="BD106" s="664">
        <f t="shared" si="101"/>
        <v>1</v>
      </c>
      <c r="BE106" s="664">
        <f t="shared" si="101"/>
        <v>1</v>
      </c>
      <c r="BF106" s="664">
        <f t="shared" si="101"/>
        <v>1</v>
      </c>
      <c r="BG106" s="664">
        <f t="shared" si="101"/>
        <v>10</v>
      </c>
      <c r="BH106" s="664">
        <f t="shared" ref="BH106:BI107" si="102">ROUND(IF((10*(AL106-MIN(AL$4:AL$94))/(MAX(AL$4:AL$94)-MIN(AL$4:AL$94)))&lt;0.5,1,(10*(AL106-MIN(AL$4:AL$94))/(MAX(AL$4:AL$94)-MIN(AL$4:AL$94)))),0)</f>
        <v>10</v>
      </c>
      <c r="BI106" s="1009">
        <f t="shared" si="102"/>
        <v>1</v>
      </c>
      <c r="BJ106" s="1027">
        <f>AVERAGE(AN106:AP106)*BJ$2</f>
        <v>0.84</v>
      </c>
      <c r="BK106" s="671">
        <f>AVERAGE(AQ106:AS106)*BK$2</f>
        <v>0.8</v>
      </c>
      <c r="BL106" s="671">
        <f>AVERAGE(AT106:AU106)*BL$2</f>
        <v>1.5</v>
      </c>
      <c r="BM106" s="671">
        <f>AVERAGE(AV106:AZ106)*BM$2</f>
        <v>0.75600000000000012</v>
      </c>
      <c r="BN106" s="671">
        <f>AVERAGE(BA106:BC106)*BN$2</f>
        <v>0.56000000000000005</v>
      </c>
      <c r="BO106" s="671">
        <f>AVERAGE(BD106:BF106)*BO$2</f>
        <v>0.1</v>
      </c>
      <c r="BP106" s="1028">
        <f>AVERAGE(BG106:BI106)*BP$2</f>
        <v>0.70000000000000007</v>
      </c>
      <c r="BQ106" s="1011">
        <f>SUM(BJ106:BP106)</f>
        <v>5.2560000000000002</v>
      </c>
      <c r="BR106" s="668" t="e">
        <f>RANK(BQ106,BQ$4:BQ$94,0)</f>
        <v>#N/A</v>
      </c>
      <c r="BS106" s="944" t="s">
        <v>376</v>
      </c>
      <c r="BT106" s="941" t="s">
        <v>376</v>
      </c>
      <c r="BU106" s="637" t="s">
        <v>1260</v>
      </c>
      <c r="BV106" s="576"/>
      <c r="BW106" s="670"/>
    </row>
    <row r="107" spans="1:75" x14ac:dyDescent="0.25">
      <c r="A107" s="640">
        <v>13</v>
      </c>
      <c r="B107" s="574" t="s">
        <v>1115</v>
      </c>
      <c r="C107" s="574" t="s">
        <v>197</v>
      </c>
      <c r="D107" s="577" t="s">
        <v>764</v>
      </c>
      <c r="E107" s="577" t="s">
        <v>1393</v>
      </c>
      <c r="F107" s="577" t="s">
        <v>726</v>
      </c>
      <c r="G107" s="577">
        <v>1</v>
      </c>
      <c r="H107" s="577">
        <v>1</v>
      </c>
      <c r="I107" s="577" t="s">
        <v>1049</v>
      </c>
      <c r="J107" s="276" t="s">
        <v>824</v>
      </c>
      <c r="K107" s="276" t="s">
        <v>824</v>
      </c>
      <c r="L107" s="276" t="s">
        <v>824</v>
      </c>
      <c r="M107" s="276"/>
      <c r="N107" s="580"/>
      <c r="O107" s="580"/>
      <c r="P107" s="580" t="s">
        <v>670</v>
      </c>
      <c r="Q107" s="574" t="s">
        <v>1115</v>
      </c>
      <c r="R107" s="656">
        <v>0</v>
      </c>
      <c r="S107" s="657">
        <v>4700</v>
      </c>
      <c r="T107" s="654">
        <v>0</v>
      </c>
      <c r="U107" s="650">
        <v>2.36</v>
      </c>
      <c r="V107" s="652">
        <v>0.94</v>
      </c>
      <c r="W107" s="656">
        <v>0</v>
      </c>
      <c r="X107" s="655">
        <v>10</v>
      </c>
      <c r="Y107" s="654">
        <v>0</v>
      </c>
      <c r="Z107" s="655">
        <v>10</v>
      </c>
      <c r="AA107" s="654">
        <v>0</v>
      </c>
      <c r="AB107" s="654">
        <v>0</v>
      </c>
      <c r="AC107" s="654">
        <v>0</v>
      </c>
      <c r="AD107" s="655">
        <v>10</v>
      </c>
      <c r="AE107" s="655">
        <v>10</v>
      </c>
      <c r="AF107" s="654">
        <v>0</v>
      </c>
      <c r="AG107" s="654">
        <v>0</v>
      </c>
      <c r="AH107" s="654">
        <v>0</v>
      </c>
      <c r="AI107" s="656">
        <v>0</v>
      </c>
      <c r="AJ107" s="657">
        <v>4</v>
      </c>
      <c r="AK107" s="655">
        <v>10</v>
      </c>
      <c r="AL107" s="655">
        <v>10</v>
      </c>
      <c r="AM107" s="654">
        <v>0</v>
      </c>
      <c r="AN107" s="664">
        <f t="shared" si="100"/>
        <v>1</v>
      </c>
      <c r="AO107" s="664">
        <f t="shared" si="100"/>
        <v>6</v>
      </c>
      <c r="AP107" s="664">
        <f t="shared" si="100"/>
        <v>1</v>
      </c>
      <c r="AQ107" s="664">
        <f t="shared" si="100"/>
        <v>5</v>
      </c>
      <c r="AR107" s="664">
        <f t="shared" si="100"/>
        <v>6</v>
      </c>
      <c r="AS107" s="664">
        <f t="shared" si="100"/>
        <v>1</v>
      </c>
      <c r="AT107" s="664">
        <f t="shared" si="100"/>
        <v>10</v>
      </c>
      <c r="AU107" s="664">
        <f t="shared" si="100"/>
        <v>1</v>
      </c>
      <c r="AV107" s="664">
        <f t="shared" si="100"/>
        <v>10</v>
      </c>
      <c r="AW107" s="664">
        <f t="shared" si="100"/>
        <v>1</v>
      </c>
      <c r="AX107" s="664">
        <f t="shared" si="101"/>
        <v>1</v>
      </c>
      <c r="AY107" s="664">
        <f t="shared" si="101"/>
        <v>1</v>
      </c>
      <c r="AZ107" s="664">
        <f t="shared" si="101"/>
        <v>10</v>
      </c>
      <c r="BA107" s="664">
        <f t="shared" si="101"/>
        <v>10</v>
      </c>
      <c r="BB107" s="664">
        <f t="shared" si="101"/>
        <v>1</v>
      </c>
      <c r="BC107" s="664">
        <f t="shared" si="101"/>
        <v>1</v>
      </c>
      <c r="BD107" s="664">
        <f t="shared" si="101"/>
        <v>1</v>
      </c>
      <c r="BE107" s="664">
        <f t="shared" si="101"/>
        <v>1</v>
      </c>
      <c r="BF107" s="664">
        <f t="shared" si="101"/>
        <v>3</v>
      </c>
      <c r="BG107" s="664">
        <f t="shared" si="101"/>
        <v>10</v>
      </c>
      <c r="BH107" s="664">
        <f t="shared" si="102"/>
        <v>10</v>
      </c>
      <c r="BI107" s="1009">
        <f t="shared" si="102"/>
        <v>1</v>
      </c>
      <c r="BJ107" s="1027">
        <f>AVERAGE(AN107:AP107)*BJ$2</f>
        <v>0.55999999999999994</v>
      </c>
      <c r="BK107" s="671">
        <f>AVERAGE(AQ107:AS107)*BK$2</f>
        <v>0.64</v>
      </c>
      <c r="BL107" s="671">
        <f>AVERAGE(AT107:AU107)*BL$2</f>
        <v>0.82499999999999996</v>
      </c>
      <c r="BM107" s="671">
        <f>AVERAGE(AV107:AZ107)*BM$2</f>
        <v>0.64400000000000002</v>
      </c>
      <c r="BN107" s="671">
        <f>AVERAGE(BA107:BC107)*BN$2</f>
        <v>0.56000000000000005</v>
      </c>
      <c r="BO107" s="671">
        <f>AVERAGE(BD107:BF107)*BO$2</f>
        <v>0.16666666666666669</v>
      </c>
      <c r="BP107" s="1028">
        <f>AVERAGE(BG107:BI107)*BP$2</f>
        <v>0.70000000000000007</v>
      </c>
      <c r="BQ107" s="1011">
        <f>SUM(BJ107:BP107)</f>
        <v>4.0956666666666663</v>
      </c>
      <c r="BR107" s="668">
        <f>RANK(BQ107,BQ$4:BQ$110,0)</f>
        <v>95</v>
      </c>
      <c r="BS107" s="944" t="s">
        <v>376</v>
      </c>
      <c r="BT107" s="941" t="s">
        <v>376</v>
      </c>
      <c r="BU107" s="636" t="s">
        <v>1261</v>
      </c>
      <c r="BV107" s="576"/>
      <c r="BW107" s="670"/>
    </row>
    <row r="108" spans="1:75" s="10" customFormat="1" x14ac:dyDescent="0.25">
      <c r="A108" s="640">
        <v>29</v>
      </c>
      <c r="B108" s="574" t="s">
        <v>1130</v>
      </c>
      <c r="C108" s="574" t="s">
        <v>197</v>
      </c>
      <c r="D108" s="584" t="s">
        <v>1013</v>
      </c>
      <c r="E108" s="584" t="s">
        <v>617</v>
      </c>
      <c r="F108" s="584" t="s">
        <v>1006</v>
      </c>
      <c r="G108" s="584">
        <v>1</v>
      </c>
      <c r="H108" s="584">
        <v>1</v>
      </c>
      <c r="I108" s="584" t="s">
        <v>1646</v>
      </c>
      <c r="J108" s="276" t="s">
        <v>824</v>
      </c>
      <c r="K108" s="276" t="s">
        <v>824</v>
      </c>
      <c r="L108" s="276" t="s">
        <v>824</v>
      </c>
      <c r="M108" s="276" t="s">
        <v>824</v>
      </c>
      <c r="N108" s="580"/>
      <c r="O108" s="580"/>
      <c r="P108" s="580" t="s">
        <v>670</v>
      </c>
      <c r="Q108" s="574" t="s">
        <v>1130</v>
      </c>
      <c r="R108" s="656">
        <v>0</v>
      </c>
      <c r="S108" s="657">
        <v>7700</v>
      </c>
      <c r="T108" s="654">
        <v>0</v>
      </c>
      <c r="U108" s="649">
        <v>0</v>
      </c>
      <c r="V108" s="652">
        <v>0.86</v>
      </c>
      <c r="W108" s="658">
        <v>5</v>
      </c>
      <c r="X108" s="654">
        <v>0</v>
      </c>
      <c r="Y108" s="654">
        <v>0</v>
      </c>
      <c r="Z108" s="657">
        <v>10</v>
      </c>
      <c r="AA108" s="654">
        <v>0</v>
      </c>
      <c r="AB108" s="654">
        <v>0</v>
      </c>
      <c r="AC108" s="657">
        <v>5</v>
      </c>
      <c r="AD108" s="655">
        <v>5</v>
      </c>
      <c r="AE108" s="655">
        <v>10</v>
      </c>
      <c r="AF108" s="654">
        <v>0</v>
      </c>
      <c r="AG108" s="655">
        <v>10</v>
      </c>
      <c r="AH108" s="655">
        <v>5</v>
      </c>
      <c r="AI108" s="656">
        <v>0</v>
      </c>
      <c r="AJ108" s="657">
        <v>3</v>
      </c>
      <c r="AK108" s="657">
        <v>10</v>
      </c>
      <c r="AL108" s="656">
        <v>0</v>
      </c>
      <c r="AM108" s="654">
        <v>0</v>
      </c>
      <c r="AN108" s="664">
        <f t="shared" ref="AN108:BI108" si="103">ROUND(IF((10*(R108-MIN(R$4:R$97))/(MAX(R$4:R$97)-MIN(R$4:R$97)))&lt;0.5,1,(10*(R108-MIN(R$4:R$97))/(MAX(R$4:R$97)-MIN(R$4:R$97)))),0)</f>
        <v>1</v>
      </c>
      <c r="AO108" s="664">
        <f t="shared" si="103"/>
        <v>10</v>
      </c>
      <c r="AP108" s="664">
        <f t="shared" si="103"/>
        <v>1</v>
      </c>
      <c r="AQ108" s="664">
        <f t="shared" si="103"/>
        <v>1</v>
      </c>
      <c r="AR108" s="664">
        <f t="shared" si="103"/>
        <v>6</v>
      </c>
      <c r="AS108" s="664">
        <f t="shared" si="103"/>
        <v>5</v>
      </c>
      <c r="AT108" s="664">
        <f t="shared" si="103"/>
        <v>1</v>
      </c>
      <c r="AU108" s="664">
        <f t="shared" si="103"/>
        <v>1</v>
      </c>
      <c r="AV108" s="664">
        <f t="shared" si="103"/>
        <v>10</v>
      </c>
      <c r="AW108" s="664">
        <f t="shared" si="103"/>
        <v>1</v>
      </c>
      <c r="AX108" s="664">
        <f t="shared" si="103"/>
        <v>1</v>
      </c>
      <c r="AY108" s="664">
        <f t="shared" si="103"/>
        <v>5</v>
      </c>
      <c r="AZ108" s="664">
        <f t="shared" si="103"/>
        <v>5</v>
      </c>
      <c r="BA108" s="664">
        <f t="shared" si="103"/>
        <v>10</v>
      </c>
      <c r="BB108" s="664">
        <f t="shared" si="103"/>
        <v>1</v>
      </c>
      <c r="BC108" s="664">
        <f t="shared" si="103"/>
        <v>10</v>
      </c>
      <c r="BD108" s="664">
        <f t="shared" si="103"/>
        <v>5</v>
      </c>
      <c r="BE108" s="664">
        <f t="shared" si="103"/>
        <v>1</v>
      </c>
      <c r="BF108" s="664">
        <f t="shared" si="103"/>
        <v>1</v>
      </c>
      <c r="BG108" s="664">
        <f t="shared" si="103"/>
        <v>10</v>
      </c>
      <c r="BH108" s="664">
        <f t="shared" si="103"/>
        <v>1</v>
      </c>
      <c r="BI108" s="1009">
        <f t="shared" si="103"/>
        <v>1</v>
      </c>
      <c r="BJ108" s="1029">
        <f t="shared" ref="BJ108" si="104">AVERAGE(AN108:AP108)*BJ$2</f>
        <v>0.84</v>
      </c>
      <c r="BK108" s="578">
        <f t="shared" ref="BK108" si="105">AVERAGE(AQ108:AS108)*BK$2</f>
        <v>0.64</v>
      </c>
      <c r="BL108" s="578">
        <f t="shared" ref="BL108" si="106">AVERAGE(AT108:AU108)*BL$2</f>
        <v>0.15</v>
      </c>
      <c r="BM108" s="578">
        <f t="shared" ref="BM108" si="107">AVERAGE(AV108:AZ108)*BM$2</f>
        <v>0.6160000000000001</v>
      </c>
      <c r="BN108" s="578">
        <f t="shared" ref="BN108" si="108">AVERAGE(BA108:BC108)*BN$2</f>
        <v>0.98000000000000009</v>
      </c>
      <c r="BO108" s="578">
        <f t="shared" ref="BO108" si="109">AVERAGE(BD108:BF108)*BO$2</f>
        <v>0.23333333333333336</v>
      </c>
      <c r="BP108" s="1030">
        <f t="shared" ref="BP108" si="110">AVERAGE(BG108:BI108)*BP$2</f>
        <v>0.4</v>
      </c>
      <c r="BQ108" s="1011">
        <f t="shared" ref="BQ108" si="111">SUM(BJ108:BP108)</f>
        <v>3.8593333333333333</v>
      </c>
      <c r="BR108" s="668">
        <f>RANK(BQ108,BQ$4:BQ$110,0)</f>
        <v>96</v>
      </c>
      <c r="BS108" s="949" t="s">
        <v>376</v>
      </c>
      <c r="BT108" s="950" t="s">
        <v>376</v>
      </c>
      <c r="BU108" s="636" t="s">
        <v>1261</v>
      </c>
      <c r="BV108" s="576"/>
      <c r="BW108" s="888"/>
    </row>
    <row r="109" spans="1:75" x14ac:dyDescent="0.25">
      <c r="A109" s="641">
        <v>31</v>
      </c>
      <c r="B109" s="600" t="s">
        <v>904</v>
      </c>
      <c r="C109" s="574" t="s">
        <v>37</v>
      </c>
      <c r="D109" s="585" t="s">
        <v>319</v>
      </c>
      <c r="E109" s="893" t="s">
        <v>536</v>
      </c>
      <c r="F109" s="893" t="s">
        <v>475</v>
      </c>
      <c r="G109" s="894">
        <v>4499.3526995676903</v>
      </c>
      <c r="H109" s="895">
        <f>G109/5280</f>
        <v>0.85215013249388072</v>
      </c>
      <c r="I109" s="585" t="s">
        <v>1481</v>
      </c>
      <c r="J109" s="580" t="s">
        <v>824</v>
      </c>
      <c r="K109" s="580" t="s">
        <v>824</v>
      </c>
      <c r="L109" s="580" t="s">
        <v>824</v>
      </c>
      <c r="M109" s="580"/>
      <c r="N109" s="581">
        <v>2</v>
      </c>
      <c r="O109" s="582" t="s">
        <v>964</v>
      </c>
      <c r="P109" s="583" t="s">
        <v>670</v>
      </c>
      <c r="Q109" s="600" t="s">
        <v>904</v>
      </c>
      <c r="R109" s="656">
        <v>0</v>
      </c>
      <c r="S109" s="657">
        <v>3955</v>
      </c>
      <c r="T109" s="655">
        <v>10</v>
      </c>
      <c r="U109" s="649">
        <v>0</v>
      </c>
      <c r="V109" s="652">
        <v>1.38</v>
      </c>
      <c r="W109" s="656">
        <v>0</v>
      </c>
      <c r="X109" s="654">
        <v>0</v>
      </c>
      <c r="Y109" s="655">
        <v>5</v>
      </c>
      <c r="Z109" s="657">
        <v>10</v>
      </c>
      <c r="AA109" s="654">
        <v>0</v>
      </c>
      <c r="AB109" s="654">
        <v>0</v>
      </c>
      <c r="AC109" s="656">
        <v>0</v>
      </c>
      <c r="AD109" s="654">
        <v>0</v>
      </c>
      <c r="AE109" s="655">
        <v>10</v>
      </c>
      <c r="AF109" s="659">
        <v>10</v>
      </c>
      <c r="AG109" s="655">
        <v>10</v>
      </c>
      <c r="AH109" s="654">
        <v>0</v>
      </c>
      <c r="AI109" s="656">
        <v>0</v>
      </c>
      <c r="AJ109" s="657">
        <v>7</v>
      </c>
      <c r="AK109" s="657">
        <v>10</v>
      </c>
      <c r="AL109" s="657">
        <v>10</v>
      </c>
      <c r="AM109" s="655">
        <v>10</v>
      </c>
      <c r="AN109" s="664">
        <f t="shared" ref="AN109:AW111" si="112">ROUND(IF((10*(R109-MIN(R$4:R$94))/(MAX(R$4:R$94)-MIN(R$4:R$94)))&lt;0.5,1,(10*(R109-MIN(R$4:R$94))/(MAX(R$4:R$94)-MIN(R$4:R$94)))),0)</f>
        <v>1</v>
      </c>
      <c r="AO109" s="664">
        <f t="shared" si="112"/>
        <v>5</v>
      </c>
      <c r="AP109" s="664">
        <f t="shared" si="112"/>
        <v>10</v>
      </c>
      <c r="AQ109" s="664">
        <f t="shared" si="112"/>
        <v>1</v>
      </c>
      <c r="AR109" s="664">
        <f t="shared" si="112"/>
        <v>9</v>
      </c>
      <c r="AS109" s="664">
        <f t="shared" si="112"/>
        <v>1</v>
      </c>
      <c r="AT109" s="664">
        <f t="shared" si="112"/>
        <v>1</v>
      </c>
      <c r="AU109" s="664">
        <f t="shared" si="112"/>
        <v>5</v>
      </c>
      <c r="AV109" s="664">
        <f t="shared" si="112"/>
        <v>10</v>
      </c>
      <c r="AW109" s="664">
        <f t="shared" si="112"/>
        <v>1</v>
      </c>
      <c r="AX109" s="664">
        <f t="shared" ref="AX109:BG111" si="113">ROUND(IF((10*(AB109-MIN(AB$4:AB$94))/(MAX(AB$4:AB$94)-MIN(AB$4:AB$94)))&lt;0.5,1,(10*(AB109-MIN(AB$4:AB$94))/(MAX(AB$4:AB$94)-MIN(AB$4:AB$94)))),0)</f>
        <v>1</v>
      </c>
      <c r="AY109" s="664">
        <f t="shared" si="113"/>
        <v>1</v>
      </c>
      <c r="AZ109" s="664">
        <f t="shared" si="113"/>
        <v>1</v>
      </c>
      <c r="BA109" s="664">
        <f t="shared" si="113"/>
        <v>10</v>
      </c>
      <c r="BB109" s="664">
        <f t="shared" si="113"/>
        <v>10</v>
      </c>
      <c r="BC109" s="664">
        <f t="shared" si="113"/>
        <v>10</v>
      </c>
      <c r="BD109" s="664">
        <f t="shared" si="113"/>
        <v>1</v>
      </c>
      <c r="BE109" s="664">
        <f t="shared" si="113"/>
        <v>1</v>
      </c>
      <c r="BF109" s="664">
        <f t="shared" si="113"/>
        <v>10</v>
      </c>
      <c r="BG109" s="664">
        <f t="shared" si="113"/>
        <v>10</v>
      </c>
      <c r="BH109" s="664">
        <f t="shared" ref="BH109:BI111" si="114">ROUND(IF((10*(AL109-MIN(AL$4:AL$94))/(MAX(AL$4:AL$94)-MIN(AL$4:AL$94)))&lt;0.5,1,(10*(AL109-MIN(AL$4:AL$94))/(MAX(AL$4:AL$94)-MIN(AL$4:AL$94)))),0)</f>
        <v>10</v>
      </c>
      <c r="BI109" s="1009">
        <f t="shared" si="114"/>
        <v>10</v>
      </c>
      <c r="BJ109" s="1027">
        <f>AVERAGE(AN109:AP109)*BJ$2</f>
        <v>1.1199999999999999</v>
      </c>
      <c r="BK109" s="671">
        <f>AVERAGE(AQ109:AS109)*BK$2</f>
        <v>0.58666666666666667</v>
      </c>
      <c r="BL109" s="671">
        <f>AVERAGE(AT109:AU109)*BL$2</f>
        <v>0.44999999999999996</v>
      </c>
      <c r="BM109" s="671">
        <f>AVERAGE(AV109:AZ109)*BM$2</f>
        <v>0.39200000000000002</v>
      </c>
      <c r="BN109" s="671">
        <f>AVERAGE(BA109:BC109)*BN$2</f>
        <v>1.4000000000000001</v>
      </c>
      <c r="BO109" s="671">
        <f>AVERAGE(BD109:BF109)*BO$2</f>
        <v>0.4</v>
      </c>
      <c r="BP109" s="1028">
        <f>AVERAGE(BG109:BI109)*BP$2</f>
        <v>1</v>
      </c>
      <c r="BQ109" s="1011">
        <f>SUM(BJ109:BP109)</f>
        <v>5.3486666666666665</v>
      </c>
      <c r="BR109" s="668">
        <f>RANK(BQ109,BQ$4:BQ$110,0)</f>
        <v>92</v>
      </c>
      <c r="BS109" s="942">
        <v>11</v>
      </c>
      <c r="BT109" s="943" t="s">
        <v>341</v>
      </c>
      <c r="BU109" s="637" t="s">
        <v>1260</v>
      </c>
      <c r="BV109" s="576"/>
      <c r="BW109" s="622"/>
    </row>
    <row r="110" spans="1:75" x14ac:dyDescent="0.25">
      <c r="A110" s="640">
        <v>32</v>
      </c>
      <c r="B110" s="600" t="s">
        <v>905</v>
      </c>
      <c r="C110" s="574" t="s">
        <v>37</v>
      </c>
      <c r="D110" s="585" t="s">
        <v>317</v>
      </c>
      <c r="E110" s="893" t="s">
        <v>475</v>
      </c>
      <c r="F110" s="893" t="s">
        <v>624</v>
      </c>
      <c r="G110" s="894">
        <v>10917.835754765299</v>
      </c>
      <c r="H110" s="895">
        <f>G110/5280</f>
        <v>2.0677719232510037</v>
      </c>
      <c r="I110" s="585" t="s">
        <v>1481</v>
      </c>
      <c r="J110" s="580" t="s">
        <v>824</v>
      </c>
      <c r="K110" s="580" t="s">
        <v>824</v>
      </c>
      <c r="L110" s="580" t="s">
        <v>824</v>
      </c>
      <c r="M110" s="580" t="s">
        <v>824</v>
      </c>
      <c r="N110" s="581">
        <v>2</v>
      </c>
      <c r="O110" s="582" t="s">
        <v>964</v>
      </c>
      <c r="P110" s="583" t="s">
        <v>670</v>
      </c>
      <c r="Q110" s="600" t="s">
        <v>905</v>
      </c>
      <c r="R110" s="656">
        <v>0</v>
      </c>
      <c r="S110" s="657">
        <v>3955</v>
      </c>
      <c r="T110" s="654">
        <v>0</v>
      </c>
      <c r="U110" s="649">
        <v>0</v>
      </c>
      <c r="V110" s="652">
        <v>1.31</v>
      </c>
      <c r="W110" s="656">
        <v>0</v>
      </c>
      <c r="X110" s="654">
        <v>0</v>
      </c>
      <c r="Y110" s="654">
        <v>0</v>
      </c>
      <c r="Z110" s="657">
        <v>10</v>
      </c>
      <c r="AA110" s="654">
        <v>0</v>
      </c>
      <c r="AB110" s="654">
        <v>0</v>
      </c>
      <c r="AC110" s="656">
        <v>0</v>
      </c>
      <c r="AD110" s="654">
        <v>0</v>
      </c>
      <c r="AE110" s="655">
        <v>10</v>
      </c>
      <c r="AF110" s="659">
        <v>10</v>
      </c>
      <c r="AG110" s="655">
        <v>10</v>
      </c>
      <c r="AH110" s="654">
        <v>0</v>
      </c>
      <c r="AI110" s="656">
        <v>0</v>
      </c>
      <c r="AJ110" s="657">
        <v>5</v>
      </c>
      <c r="AK110" s="657">
        <v>10</v>
      </c>
      <c r="AL110" s="657">
        <v>10</v>
      </c>
      <c r="AM110" s="655">
        <v>10</v>
      </c>
      <c r="AN110" s="664">
        <f t="shared" si="112"/>
        <v>1</v>
      </c>
      <c r="AO110" s="664">
        <f t="shared" si="112"/>
        <v>5</v>
      </c>
      <c r="AP110" s="664">
        <f t="shared" si="112"/>
        <v>1</v>
      </c>
      <c r="AQ110" s="664">
        <f t="shared" si="112"/>
        <v>1</v>
      </c>
      <c r="AR110" s="664">
        <f t="shared" si="112"/>
        <v>8</v>
      </c>
      <c r="AS110" s="664">
        <f t="shared" si="112"/>
        <v>1</v>
      </c>
      <c r="AT110" s="664">
        <f t="shared" si="112"/>
        <v>1</v>
      </c>
      <c r="AU110" s="664">
        <f t="shared" si="112"/>
        <v>1</v>
      </c>
      <c r="AV110" s="664">
        <f t="shared" si="112"/>
        <v>10</v>
      </c>
      <c r="AW110" s="664">
        <f t="shared" si="112"/>
        <v>1</v>
      </c>
      <c r="AX110" s="664">
        <f t="shared" si="113"/>
        <v>1</v>
      </c>
      <c r="AY110" s="664">
        <f t="shared" si="113"/>
        <v>1</v>
      </c>
      <c r="AZ110" s="664">
        <f t="shared" si="113"/>
        <v>1</v>
      </c>
      <c r="BA110" s="664">
        <f t="shared" si="113"/>
        <v>10</v>
      </c>
      <c r="BB110" s="664">
        <f t="shared" si="113"/>
        <v>10</v>
      </c>
      <c r="BC110" s="664">
        <f t="shared" si="113"/>
        <v>10</v>
      </c>
      <c r="BD110" s="664">
        <f t="shared" si="113"/>
        <v>1</v>
      </c>
      <c r="BE110" s="664">
        <f t="shared" si="113"/>
        <v>1</v>
      </c>
      <c r="BF110" s="664">
        <f t="shared" si="113"/>
        <v>5</v>
      </c>
      <c r="BG110" s="664">
        <f t="shared" si="113"/>
        <v>10</v>
      </c>
      <c r="BH110" s="664">
        <f t="shared" si="114"/>
        <v>10</v>
      </c>
      <c r="BI110" s="1009">
        <f t="shared" si="114"/>
        <v>10</v>
      </c>
      <c r="BJ110" s="1027">
        <f>AVERAGE(AN110:AP110)*BJ$2</f>
        <v>0.49</v>
      </c>
      <c r="BK110" s="671">
        <f>AVERAGE(AQ110:AS110)*BK$2</f>
        <v>0.53333333333333333</v>
      </c>
      <c r="BL110" s="671">
        <f>AVERAGE(AT110:AU110)*BL$2</f>
        <v>0.15</v>
      </c>
      <c r="BM110" s="671">
        <f>AVERAGE(AV110:AZ110)*BM$2</f>
        <v>0.39200000000000002</v>
      </c>
      <c r="BN110" s="671">
        <f>AVERAGE(BA110:BC110)*BN$2</f>
        <v>1.4000000000000001</v>
      </c>
      <c r="BO110" s="671">
        <f>AVERAGE(BD110:BF110)*BO$2</f>
        <v>0.23333333333333336</v>
      </c>
      <c r="BP110" s="1028">
        <f>AVERAGE(BG110:BI110)*BP$2</f>
        <v>1</v>
      </c>
      <c r="BQ110" s="1011">
        <f>SUM(BJ110:BP110)</f>
        <v>4.198666666666667</v>
      </c>
      <c r="BR110" s="668">
        <f>RANK(BQ110,BQ$4:BQ$110,0)</f>
        <v>94</v>
      </c>
      <c r="BS110" s="942">
        <v>13</v>
      </c>
      <c r="BT110" s="943" t="s">
        <v>275</v>
      </c>
      <c r="BU110" s="636" t="s">
        <v>1261</v>
      </c>
      <c r="BV110" s="576"/>
      <c r="BW110" s="622"/>
    </row>
    <row r="111" spans="1:75" ht="12.6" thickBot="1" x14ac:dyDescent="0.3">
      <c r="A111" s="640">
        <v>102</v>
      </c>
      <c r="B111" s="600" t="s">
        <v>1099</v>
      </c>
      <c r="C111" s="574" t="s">
        <v>360</v>
      </c>
      <c r="D111" s="584" t="s">
        <v>1100</v>
      </c>
      <c r="E111" s="644" t="s">
        <v>1101</v>
      </c>
      <c r="F111" s="644" t="s">
        <v>614</v>
      </c>
      <c r="G111" s="593">
        <v>4552.4105939999999</v>
      </c>
      <c r="H111" s="579">
        <f>G111/5280</f>
        <v>0.86219897613636365</v>
      </c>
      <c r="I111" s="576" t="s">
        <v>573</v>
      </c>
      <c r="J111" s="580" t="s">
        <v>824</v>
      </c>
      <c r="K111" s="580" t="s">
        <v>824</v>
      </c>
      <c r="L111" s="580" t="s">
        <v>824</v>
      </c>
      <c r="M111" s="580" t="s">
        <v>824</v>
      </c>
      <c r="N111" s="581">
        <v>3</v>
      </c>
      <c r="O111" s="581">
        <v>3</v>
      </c>
      <c r="P111" s="583" t="s">
        <v>670</v>
      </c>
      <c r="Q111" s="600" t="s">
        <v>1099</v>
      </c>
      <c r="R111" s="656">
        <v>0</v>
      </c>
      <c r="S111" s="657">
        <v>1660</v>
      </c>
      <c r="T111" s="656">
        <v>0</v>
      </c>
      <c r="U111" s="651">
        <v>0</v>
      </c>
      <c r="V111" s="651">
        <v>0</v>
      </c>
      <c r="W111" s="656">
        <v>0</v>
      </c>
      <c r="X111" s="656">
        <v>0</v>
      </c>
      <c r="Y111" s="656">
        <v>0</v>
      </c>
      <c r="Z111" s="656">
        <v>0</v>
      </c>
      <c r="AA111" s="657">
        <v>10</v>
      </c>
      <c r="AB111" s="657">
        <v>5</v>
      </c>
      <c r="AC111" s="657">
        <v>5</v>
      </c>
      <c r="AD111" s="657">
        <v>5</v>
      </c>
      <c r="AE111" s="657">
        <v>10</v>
      </c>
      <c r="AF111" s="656">
        <v>0</v>
      </c>
      <c r="AG111" s="656">
        <v>0</v>
      </c>
      <c r="AH111" s="656">
        <v>0</v>
      </c>
      <c r="AI111" s="656">
        <v>0</v>
      </c>
      <c r="AJ111" s="657">
        <v>4</v>
      </c>
      <c r="AK111" s="657">
        <v>10</v>
      </c>
      <c r="AL111" s="657">
        <v>10</v>
      </c>
      <c r="AM111" s="657">
        <v>10</v>
      </c>
      <c r="AN111" s="664">
        <f t="shared" si="112"/>
        <v>1</v>
      </c>
      <c r="AO111" s="664">
        <f t="shared" si="112"/>
        <v>2</v>
      </c>
      <c r="AP111" s="664">
        <f t="shared" si="112"/>
        <v>1</v>
      </c>
      <c r="AQ111" s="664">
        <f t="shared" si="112"/>
        <v>1</v>
      </c>
      <c r="AR111" s="664">
        <f t="shared" si="112"/>
        <v>1</v>
      </c>
      <c r="AS111" s="664">
        <f t="shared" si="112"/>
        <v>1</v>
      </c>
      <c r="AT111" s="664">
        <f t="shared" si="112"/>
        <v>1</v>
      </c>
      <c r="AU111" s="664">
        <f t="shared" si="112"/>
        <v>1</v>
      </c>
      <c r="AV111" s="664">
        <f t="shared" si="112"/>
        <v>1</v>
      </c>
      <c r="AW111" s="664">
        <f t="shared" si="112"/>
        <v>10</v>
      </c>
      <c r="AX111" s="664">
        <f t="shared" si="113"/>
        <v>5</v>
      </c>
      <c r="AY111" s="664">
        <f t="shared" si="113"/>
        <v>5</v>
      </c>
      <c r="AZ111" s="664">
        <f t="shared" si="113"/>
        <v>5</v>
      </c>
      <c r="BA111" s="664">
        <f t="shared" si="113"/>
        <v>10</v>
      </c>
      <c r="BB111" s="664">
        <f t="shared" si="113"/>
        <v>1</v>
      </c>
      <c r="BC111" s="664">
        <f t="shared" si="113"/>
        <v>1</v>
      </c>
      <c r="BD111" s="664">
        <f t="shared" si="113"/>
        <v>1</v>
      </c>
      <c r="BE111" s="664">
        <f t="shared" si="113"/>
        <v>1</v>
      </c>
      <c r="BF111" s="664">
        <f t="shared" si="113"/>
        <v>3</v>
      </c>
      <c r="BG111" s="664">
        <f t="shared" si="113"/>
        <v>10</v>
      </c>
      <c r="BH111" s="664">
        <f t="shared" si="114"/>
        <v>10</v>
      </c>
      <c r="BI111" s="1009">
        <f t="shared" si="114"/>
        <v>10</v>
      </c>
      <c r="BJ111" s="1031">
        <f>AVERAGE($AN111:$AP111)*BJ$2*10</f>
        <v>2.8</v>
      </c>
      <c r="BK111" s="1032">
        <f>AVERAGE($AQ111:$AS111)*BK$2*10</f>
        <v>1.6</v>
      </c>
      <c r="BL111" s="1032">
        <f>AVERAGE($AT111:$AU111)*BL$2*10</f>
        <v>1.5</v>
      </c>
      <c r="BM111" s="1032">
        <f>AVERAGE($AV111:$AZ111)*BM$2*10</f>
        <v>7.2800000000000011</v>
      </c>
      <c r="BN111" s="1032">
        <f>AVERAGE($BA111:$BC111)*BN$2*10</f>
        <v>5.6000000000000005</v>
      </c>
      <c r="BO111" s="1032">
        <f>AVERAGE($BD111:$BF111)*BO$2*10</f>
        <v>1.666666666666667</v>
      </c>
      <c r="BP111" s="1033">
        <f>AVERAGE($BG111:$BI111)*BP$2*10</f>
        <v>10</v>
      </c>
      <c r="BQ111" s="1011">
        <f>SUM(BJ111:BP111)</f>
        <v>30.446666666666669</v>
      </c>
      <c r="BR111" s="668">
        <f>RANK(BQ111,BQ$4:BQ$94,0)</f>
        <v>63</v>
      </c>
      <c r="BS111" s="942" t="s">
        <v>376</v>
      </c>
      <c r="BT111" s="941" t="s">
        <v>376</v>
      </c>
      <c r="BU111" s="638" t="s">
        <v>1262</v>
      </c>
      <c r="BV111" s="576"/>
      <c r="BW111" s="590" t="s">
        <v>1413</v>
      </c>
    </row>
  </sheetData>
  <autoFilter ref="A3:BW94" xr:uid="{236221A0-28C5-49B7-AE2E-F5524B8FEE00}">
    <sortState xmlns:xlrd2="http://schemas.microsoft.com/office/spreadsheetml/2017/richdata2" ref="A4:BW94">
      <sortCondition descending="1" ref="BQ3:BQ94"/>
    </sortState>
  </autoFilter>
  <phoneticPr fontId="29" type="noConversion"/>
  <conditionalFormatting sqref="D24 BS30:BS31 BS12:BS16 H32:P35 D87:P89 D86:F86 H86:P86 H37:I37 B38:C75 BT40:BT77 J36:P36 B39:D39 BS36:BS37 BQ39:BT39 J8:M25 BQ109:BQ110 A109:Q110 BS109:BT110 BR108:BR110 N4:P22 D3 B8:C35 A106:Q107 BT8:BT38 BS8:BS10 BQ106:BT107 D91:P92 E90:P90 G4:I7 D9:D18 G9:I20 H8:I8 D34:D35 G27:P29 M26 G79:P79 H80:P81 A5:D6 B7:D7 H30:P30 B82:C92 BT82:BT92 D82:P85 BS82:BS87 BW82:BW92 D69:P78 I68:P68 BQ4:BT7 BQ40:BR92 A7:A94 G22:I22 H21:I21 BQ8:BR38 D27:D32 D20:D22 D38:D68 G38:P67 G31:P31">
    <cfRule type="expression" dxfId="199" priority="353">
      <formula>MOD(ROW(),2)=0</formula>
    </cfRule>
  </conditionalFormatting>
  <conditionalFormatting sqref="D25:D26">
    <cfRule type="expression" dxfId="198" priority="306">
      <formula>MOD(ROW(),2)=0</formula>
    </cfRule>
  </conditionalFormatting>
  <conditionalFormatting sqref="D23">
    <cfRule type="expression" dxfId="197" priority="302">
      <formula>MOD(ROW(),2)=0</formula>
    </cfRule>
  </conditionalFormatting>
  <conditionalFormatting sqref="B3:C4 C92">
    <cfRule type="expression" dxfId="196" priority="301">
      <formula>MOD(ROW(),2)=0</formula>
    </cfRule>
  </conditionalFormatting>
  <conditionalFormatting sqref="I25">
    <cfRule type="expression" dxfId="195" priority="242">
      <formula>MOD(ROW(),2)=0</formula>
    </cfRule>
  </conditionalFormatting>
  <conditionalFormatting sqref="G109">
    <cfRule type="expression" dxfId="194" priority="298">
      <formula>MOD(ROW(),2)=0</formula>
    </cfRule>
  </conditionalFormatting>
  <conditionalFormatting sqref="E109:F109">
    <cfRule type="expression" dxfId="193" priority="297">
      <formula>MOD(ROW(),2)=0</formula>
    </cfRule>
  </conditionalFormatting>
  <conditionalFormatting sqref="E110:F110">
    <cfRule type="expression" dxfId="192" priority="295">
      <formula>MOD(ROW(),2)=0</formula>
    </cfRule>
  </conditionalFormatting>
  <conditionalFormatting sqref="H75">
    <cfRule type="expression" dxfId="191" priority="294">
      <formula>MOD(ROW(),2)=0</formula>
    </cfRule>
  </conditionalFormatting>
  <conditionalFormatting sqref="H71:H73">
    <cfRule type="expression" dxfId="190" priority="293">
      <formula>MOD(ROW(),2)=0</formula>
    </cfRule>
  </conditionalFormatting>
  <conditionalFormatting sqref="I74">
    <cfRule type="expression" dxfId="189" priority="273">
      <formula>MOD(ROW(),2)=0</formula>
    </cfRule>
  </conditionalFormatting>
  <conditionalFormatting sqref="I87:I88">
    <cfRule type="expression" dxfId="188" priority="272">
      <formula>MOD(ROW(),2)=0</formula>
    </cfRule>
  </conditionalFormatting>
  <conditionalFormatting sqref="H74">
    <cfRule type="expression" dxfId="187" priority="286">
      <formula>MOD(ROW(),2)=0</formula>
    </cfRule>
  </conditionalFormatting>
  <conditionalFormatting sqref="E75">
    <cfRule type="expression" dxfId="186" priority="285">
      <formula>MOD(ROW(),2)=0</formula>
    </cfRule>
  </conditionalFormatting>
  <conditionalFormatting sqref="J89:P89">
    <cfRule type="expression" dxfId="185" priority="266">
      <formula>MOD(ROW(),2)=0</formula>
    </cfRule>
  </conditionalFormatting>
  <conditionalFormatting sqref="I89">
    <cfRule type="expression" dxfId="184" priority="280">
      <formula>MOD(ROW(),2)=0</formula>
    </cfRule>
  </conditionalFormatting>
  <conditionalFormatting sqref="I90">
    <cfRule type="expression" dxfId="183" priority="277">
      <formula>MOD(ROW(),2)=0</formula>
    </cfRule>
  </conditionalFormatting>
  <conditionalFormatting sqref="I75">
    <cfRule type="expression" dxfId="182" priority="279">
      <formula>MOD(ROW(),2)=0</formula>
    </cfRule>
  </conditionalFormatting>
  <conditionalFormatting sqref="I69">
    <cfRule type="expression" dxfId="181" priority="278">
      <formula>MOD(ROW(),2)=0</formula>
    </cfRule>
  </conditionalFormatting>
  <conditionalFormatting sqref="I71:I73">
    <cfRule type="expression" dxfId="180" priority="275">
      <formula>MOD(ROW(),2)=0</formula>
    </cfRule>
  </conditionalFormatting>
  <conditionalFormatting sqref="I70">
    <cfRule type="expression" dxfId="179" priority="276">
      <formula>MOD(ROW(),2)=0</formula>
    </cfRule>
  </conditionalFormatting>
  <conditionalFormatting sqref="J87:P88">
    <cfRule type="expression" dxfId="178" priority="255">
      <formula>MOD(ROW(),2)=0</formula>
    </cfRule>
  </conditionalFormatting>
  <conditionalFormatting sqref="J75:P75">
    <cfRule type="expression" dxfId="177" priority="265">
      <formula>MOD(ROW(),2)=0</formula>
    </cfRule>
  </conditionalFormatting>
  <conditionalFormatting sqref="N24">
    <cfRule type="expression" dxfId="176" priority="223">
      <formula>MOD(ROW(),2)=0</formula>
    </cfRule>
  </conditionalFormatting>
  <conditionalFormatting sqref="J69:P69">
    <cfRule type="expression" dxfId="175" priority="264">
      <formula>MOD(ROW(),2)=0</formula>
    </cfRule>
  </conditionalFormatting>
  <conditionalFormatting sqref="J90:P90">
    <cfRule type="expression" dxfId="174" priority="263">
      <formula>MOD(ROW(),2)=0</formula>
    </cfRule>
  </conditionalFormatting>
  <conditionalFormatting sqref="J70:P70">
    <cfRule type="expression" dxfId="173" priority="262">
      <formula>MOD(ROW(),2)=0</formula>
    </cfRule>
  </conditionalFormatting>
  <conditionalFormatting sqref="K71">
    <cfRule type="expression" dxfId="172" priority="261">
      <formula>MOD(ROW(),2)=0</formula>
    </cfRule>
  </conditionalFormatting>
  <conditionalFormatting sqref="L71">
    <cfRule type="expression" dxfId="171" priority="260">
      <formula>MOD(ROW(),2)=0</formula>
    </cfRule>
  </conditionalFormatting>
  <conditionalFormatting sqref="N71:P73">
    <cfRule type="expression" dxfId="170" priority="259">
      <formula>MOD(ROW(),2)=0</formula>
    </cfRule>
  </conditionalFormatting>
  <conditionalFormatting sqref="J74:M74">
    <cfRule type="expression" dxfId="169" priority="257">
      <formula>MOD(ROW(),2)=0</formula>
    </cfRule>
  </conditionalFormatting>
  <conditionalFormatting sqref="N74:P74">
    <cfRule type="expression" dxfId="168" priority="256">
      <formula>MOD(ROW(),2)=0</formula>
    </cfRule>
  </conditionalFormatting>
  <conditionalFormatting sqref="P25:P26">
    <cfRule type="expression" dxfId="167" priority="214">
      <formula>MOD(ROW(),2)=0</formula>
    </cfRule>
  </conditionalFormatting>
  <conditionalFormatting sqref="G23">
    <cfRule type="expression" dxfId="166" priority="248">
      <formula>MOD(ROW(),2)=0</formula>
    </cfRule>
  </conditionalFormatting>
  <conditionalFormatting sqref="P23">
    <cfRule type="expression" dxfId="165" priority="212">
      <formula>MOD(ROW(),2)=0</formula>
    </cfRule>
  </conditionalFormatting>
  <conditionalFormatting sqref="G24">
    <cfRule type="expression" dxfId="164" priority="251">
      <formula>MOD(ROW(),2)=0</formula>
    </cfRule>
  </conditionalFormatting>
  <conditionalFormatting sqref="G25:G26">
    <cfRule type="expression" dxfId="163" priority="250">
      <formula>MOD(ROW(),2)=0</formula>
    </cfRule>
  </conditionalFormatting>
  <conditionalFormatting sqref="H24">
    <cfRule type="expression" dxfId="162" priority="247">
      <formula>MOD(ROW(),2)=0</formula>
    </cfRule>
  </conditionalFormatting>
  <conditionalFormatting sqref="H25:H26">
    <cfRule type="expression" dxfId="161" priority="246">
      <formula>MOD(ROW(),2)=0</formula>
    </cfRule>
  </conditionalFormatting>
  <conditionalFormatting sqref="H23">
    <cfRule type="expression" dxfId="160" priority="244">
      <formula>MOD(ROW(),2)=0</formula>
    </cfRule>
  </conditionalFormatting>
  <conditionalFormatting sqref="I24">
    <cfRule type="expression" dxfId="159" priority="243">
      <formula>MOD(ROW(),2)=0</formula>
    </cfRule>
  </conditionalFormatting>
  <conditionalFormatting sqref="I23">
    <cfRule type="expression" dxfId="158" priority="240">
      <formula>MOD(ROW(),2)=0</formula>
    </cfRule>
  </conditionalFormatting>
  <conditionalFormatting sqref="N25:N26">
    <cfRule type="expression" dxfId="157" priority="222">
      <formula>MOD(ROW(),2)=0</formula>
    </cfRule>
  </conditionalFormatting>
  <conditionalFormatting sqref="N23">
    <cfRule type="expression" dxfId="156" priority="220">
      <formula>MOD(ROW(),2)=0</formula>
    </cfRule>
  </conditionalFormatting>
  <conditionalFormatting sqref="O24">
    <cfRule type="expression" dxfId="155" priority="219">
      <formula>MOD(ROW(),2)=0</formula>
    </cfRule>
  </conditionalFormatting>
  <conditionalFormatting sqref="O25:O26">
    <cfRule type="expression" dxfId="154" priority="218">
      <formula>MOD(ROW(),2)=0</formula>
    </cfRule>
  </conditionalFormatting>
  <conditionalFormatting sqref="O23">
    <cfRule type="expression" dxfId="153" priority="216">
      <formula>MOD(ROW(),2)=0</formula>
    </cfRule>
  </conditionalFormatting>
  <conditionalFormatting sqref="P24">
    <cfRule type="expression" dxfId="152" priority="215">
      <formula>MOD(ROW(),2)=0</formula>
    </cfRule>
  </conditionalFormatting>
  <conditionalFormatting sqref="B76">
    <cfRule type="expression" dxfId="151" priority="211">
      <formula>MOD(ROW(),2)=0</formula>
    </cfRule>
  </conditionalFormatting>
  <conditionalFormatting sqref="C76">
    <cfRule type="expression" dxfId="150" priority="210">
      <formula>MOD(ROW(),2)=0</formula>
    </cfRule>
  </conditionalFormatting>
  <conditionalFormatting sqref="H76">
    <cfRule type="expression" dxfId="149" priority="209">
      <formula>MOD(ROW(),2)=0</formula>
    </cfRule>
  </conditionalFormatting>
  <conditionalFormatting sqref="E76">
    <cfRule type="expression" dxfId="148" priority="208">
      <formula>MOD(ROW(),2)=0</formula>
    </cfRule>
  </conditionalFormatting>
  <conditionalFormatting sqref="I76">
    <cfRule type="expression" dxfId="147" priority="207">
      <formula>MOD(ROW(),2)=0</formula>
    </cfRule>
  </conditionalFormatting>
  <conditionalFormatting sqref="J76:P76">
    <cfRule type="expression" dxfId="146" priority="206">
      <formula>MOD(ROW(),2)=0</formula>
    </cfRule>
  </conditionalFormatting>
  <conditionalFormatting sqref="B77:B81">
    <cfRule type="expression" dxfId="145" priority="205">
      <formula>MOD(ROW(),2)=0</formula>
    </cfRule>
  </conditionalFormatting>
  <conditionalFormatting sqref="C77:C81">
    <cfRule type="expression" dxfId="144" priority="204">
      <formula>MOD(ROW(),2)=0</formula>
    </cfRule>
  </conditionalFormatting>
  <conditionalFormatting sqref="H77:H81">
    <cfRule type="expression" dxfId="143" priority="203">
      <formula>MOD(ROW(),2)=0</formula>
    </cfRule>
  </conditionalFormatting>
  <conditionalFormatting sqref="E77:E78 F78:G78 G79">
    <cfRule type="expression" dxfId="142" priority="202">
      <formula>MOD(ROW(),2)=0</formula>
    </cfRule>
  </conditionalFormatting>
  <conditionalFormatting sqref="I77:I81">
    <cfRule type="expression" dxfId="141" priority="201">
      <formula>MOD(ROW(),2)=0</formula>
    </cfRule>
  </conditionalFormatting>
  <conditionalFormatting sqref="J77:P81">
    <cfRule type="expression" dxfId="140" priority="200">
      <formula>MOD(ROW(),2)=0</formula>
    </cfRule>
  </conditionalFormatting>
  <conditionalFormatting sqref="J4:M7">
    <cfRule type="expression" dxfId="139" priority="198">
      <formula>MOD(ROW(),2)=0</formula>
    </cfRule>
  </conditionalFormatting>
  <conditionalFormatting sqref="Q3:Q94">
    <cfRule type="expression" dxfId="138" priority="195">
      <formula>MOD(ROW(),2)=0</formula>
    </cfRule>
  </conditionalFormatting>
  <conditionalFormatting sqref="A3:A4">
    <cfRule type="expression" dxfId="137" priority="180">
      <formula>MOD(ROW(),2)=0</formula>
    </cfRule>
  </conditionalFormatting>
  <conditionalFormatting sqref="BS18:BS19 BS22:BS23 BS25:BS29 BS32 BS35 BS38:BS40 BS42 BS44:BS49 BS51:BS55 BS61 BS67:BS73 BS75:BS77 BS90:BS92">
    <cfRule type="expression" dxfId="136" priority="173">
      <formula>MOD(ROW(),2)=0</formula>
    </cfRule>
  </conditionalFormatting>
  <conditionalFormatting sqref="AN109:BI110 AN106:BI107 AN86:BI92 AN4:BI83">
    <cfRule type="colorScale" priority="174">
      <colorScale>
        <cfvo type="min"/>
        <cfvo type="max"/>
        <color rgb="FFFFEF9C"/>
        <color rgb="FF63BE7B"/>
      </colorScale>
    </cfRule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3:B94 D93:P93 BQ93:BR94 BT93:BT94 G94:H94 J94:P94">
    <cfRule type="expression" dxfId="135" priority="171">
      <formula>MOD(ROW(),2)=0</formula>
    </cfRule>
  </conditionalFormatting>
  <conditionalFormatting sqref="C93:C94">
    <cfRule type="expression" dxfId="134" priority="170">
      <formula>MOD(ROW(),2)=0</formula>
    </cfRule>
  </conditionalFormatting>
  <conditionalFormatting sqref="BS93:BS94">
    <cfRule type="expression" dxfId="133" priority="164">
      <formula>MOD(ROW(),2)=0</formula>
    </cfRule>
  </conditionalFormatting>
  <conditionalFormatting sqref="AN93:BI94">
    <cfRule type="colorScale" priority="165">
      <colorScale>
        <cfvo type="min"/>
        <cfvo type="max"/>
        <color rgb="FFFFEF9C"/>
        <color rgb="FF63BE7B"/>
      </colorScale>
    </cfRule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2">
    <cfRule type="expression" dxfId="132" priority="163">
      <formula>MOD(ROW(),2)=0</formula>
    </cfRule>
  </conditionalFormatting>
  <conditionalFormatting sqref="D94">
    <cfRule type="expression" dxfId="131" priority="162">
      <formula>MOD(ROW(),2)=0</formula>
    </cfRule>
  </conditionalFormatting>
  <conditionalFormatting sqref="E92:F92">
    <cfRule type="expression" dxfId="130" priority="161">
      <formula>MOD(ROW(),2)=0</formula>
    </cfRule>
  </conditionalFormatting>
  <conditionalFormatting sqref="E94:F94">
    <cfRule type="expression" dxfId="129" priority="160">
      <formula>MOD(ROW(),2)=0</formula>
    </cfRule>
  </conditionalFormatting>
  <conditionalFormatting sqref="I94">
    <cfRule type="expression" dxfId="128" priority="159">
      <formula>MOD(ROW(),2)=0</formula>
    </cfRule>
  </conditionalFormatting>
  <conditionalFormatting sqref="BS24 BS20:BS21 BS17 BS11">
    <cfRule type="expression" dxfId="127" priority="158">
      <formula>MOD(ROW(),2)=0</formula>
    </cfRule>
  </conditionalFormatting>
  <conditionalFormatting sqref="BS88:BS89 BS74 BS62:BS66 BS56:BS60 BS50 BS43 BS41 BS33:BS34">
    <cfRule type="expression" dxfId="126" priority="157">
      <formula>MOD(ROW(),2)=0</formula>
    </cfRule>
  </conditionalFormatting>
  <conditionalFormatting sqref="G33">
    <cfRule type="expression" dxfId="125" priority="154">
      <formula>MOD(ROW(),2)=0</formula>
    </cfRule>
  </conditionalFormatting>
  <conditionalFormatting sqref="G32">
    <cfRule type="expression" dxfId="124" priority="155">
      <formula>MOD(ROW(),2)=0</formula>
    </cfRule>
  </conditionalFormatting>
  <conditionalFormatting sqref="G34">
    <cfRule type="expression" dxfId="123" priority="153">
      <formula>MOD(ROW(),2)=0</formula>
    </cfRule>
  </conditionalFormatting>
  <conditionalFormatting sqref="G35">
    <cfRule type="expression" dxfId="122" priority="152">
      <formula>MOD(ROW(),2)=0</formula>
    </cfRule>
  </conditionalFormatting>
  <conditionalFormatting sqref="G86">
    <cfRule type="expression" dxfId="121" priority="151">
      <formula>MOD(ROW(),2)=0</formula>
    </cfRule>
  </conditionalFormatting>
  <conditionalFormatting sqref="G37">
    <cfRule type="expression" dxfId="120" priority="150">
      <formula>MOD(ROW(),2)=0</formula>
    </cfRule>
  </conditionalFormatting>
  <conditionalFormatting sqref="C36">
    <cfRule type="expression" dxfId="119" priority="146">
      <formula>MOD(ROW(),2)=0</formula>
    </cfRule>
  </conditionalFormatting>
  <conditionalFormatting sqref="B36 D36 G36:I36">
    <cfRule type="expression" dxfId="118" priority="148">
      <formula>MOD(ROW(),2)=0</formula>
    </cfRule>
  </conditionalFormatting>
  <conditionalFormatting sqref="D37">
    <cfRule type="expression" dxfId="117" priority="147">
      <formula>MOD(ROW(),2)=0</formula>
    </cfRule>
  </conditionalFormatting>
  <conditionalFormatting sqref="C37">
    <cfRule type="expression" dxfId="116" priority="145">
      <formula>MOD(ROW(),2)=0</formula>
    </cfRule>
  </conditionalFormatting>
  <conditionalFormatting sqref="J37:P37">
    <cfRule type="expression" dxfId="115" priority="143">
      <formula>MOD(ROW(),2)=0</formula>
    </cfRule>
  </conditionalFormatting>
  <conditionalFormatting sqref="B37">
    <cfRule type="expression" dxfId="114" priority="142">
      <formula>MOD(ROW(),2)=0</formula>
    </cfRule>
  </conditionalFormatting>
  <conditionalFormatting sqref="B108:C108 BQ108 BT108">
    <cfRule type="expression" dxfId="113" priority="139">
      <formula>MOD(ROW(),2)=0</formula>
    </cfRule>
  </conditionalFormatting>
  <conditionalFormatting sqref="E108:F108">
    <cfRule type="expression" dxfId="112" priority="138">
      <formula>MOD(ROW(),2)=0</formula>
    </cfRule>
  </conditionalFormatting>
  <conditionalFormatting sqref="D108">
    <cfRule type="expression" dxfId="111" priority="137">
      <formula>MOD(ROW(),2)=0</formula>
    </cfRule>
  </conditionalFormatting>
  <conditionalFormatting sqref="E108">
    <cfRule type="expression" dxfId="110" priority="136">
      <formula>MOD(ROW(),2)=0</formula>
    </cfRule>
  </conditionalFormatting>
  <conditionalFormatting sqref="O108">
    <cfRule type="expression" dxfId="109" priority="131">
      <formula>MOD(ROW(),2)=0</formula>
    </cfRule>
  </conditionalFormatting>
  <conditionalFormatting sqref="P108">
    <cfRule type="expression" dxfId="108" priority="130">
      <formula>MOD(ROW(),2)=0</formula>
    </cfRule>
  </conditionalFormatting>
  <conditionalFormatting sqref="G108">
    <cfRule type="expression" dxfId="107" priority="135">
      <formula>MOD(ROW(),2)=0</formula>
    </cfRule>
  </conditionalFormatting>
  <conditionalFormatting sqref="H108">
    <cfRule type="expression" dxfId="106" priority="134">
      <formula>MOD(ROW(),2)=0</formula>
    </cfRule>
  </conditionalFormatting>
  <conditionalFormatting sqref="I108">
    <cfRule type="expression" dxfId="105" priority="133">
      <formula>MOD(ROW(),2)=0</formula>
    </cfRule>
  </conditionalFormatting>
  <conditionalFormatting sqref="N108">
    <cfRule type="expression" dxfId="104" priority="132">
      <formula>MOD(ROW(),2)=0</formula>
    </cfRule>
  </conditionalFormatting>
  <conditionalFormatting sqref="K108">
    <cfRule type="expression" dxfId="103" priority="128">
      <formula>MOD(ROW(),2)=0</formula>
    </cfRule>
  </conditionalFormatting>
  <conditionalFormatting sqref="L108:M108 J108">
    <cfRule type="expression" dxfId="102" priority="129">
      <formula>MOD(ROW(),2)=0</formula>
    </cfRule>
  </conditionalFormatting>
  <conditionalFormatting sqref="Q108">
    <cfRule type="expression" dxfId="101" priority="127">
      <formula>MOD(ROW(),2)=0</formula>
    </cfRule>
  </conditionalFormatting>
  <conditionalFormatting sqref="A108">
    <cfRule type="expression" dxfId="100" priority="126">
      <formula>MOD(ROW(),2)=0</formula>
    </cfRule>
  </conditionalFormatting>
  <conditionalFormatting sqref="AN108:BI108">
    <cfRule type="colorScale" priority="123">
      <colorScale>
        <cfvo type="min"/>
        <cfvo type="max"/>
        <color rgb="FFFFEF9C"/>
        <color rgb="FF63BE7B"/>
      </colorScale>
    </cfRule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108">
    <cfRule type="expression" dxfId="99" priority="122">
      <formula>MOD(ROW(),2)=0</formula>
    </cfRule>
  </conditionalFormatting>
  <conditionalFormatting sqref="BT84 BQ84:BR84 B84 G84:P84">
    <cfRule type="expression" dxfId="98" priority="121">
      <formula>MOD(ROW(),2)=0</formula>
    </cfRule>
  </conditionalFormatting>
  <conditionalFormatting sqref="C84">
    <cfRule type="expression" dxfId="97" priority="120">
      <formula>MOD(ROW(),2)=0</formula>
    </cfRule>
  </conditionalFormatting>
  <conditionalFormatting sqref="BS84">
    <cfRule type="expression" dxfId="96" priority="114">
      <formula>MOD(ROW(),2)=0</formula>
    </cfRule>
  </conditionalFormatting>
  <conditionalFormatting sqref="AN84:BI84">
    <cfRule type="colorScale" priority="115">
      <colorScale>
        <cfvo type="min"/>
        <cfvo type="max"/>
        <color rgb="FFFFEF9C"/>
        <color rgb="FF63BE7B"/>
      </colorScale>
    </cfRule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4">
    <cfRule type="expression" dxfId="95" priority="113">
      <formula>MOD(ROW(),2)=0</formula>
    </cfRule>
  </conditionalFormatting>
  <conditionalFormatting sqref="E84:F84">
    <cfRule type="expression" dxfId="94" priority="112">
      <formula>MOD(ROW(),2)=0</formula>
    </cfRule>
  </conditionalFormatting>
  <conditionalFormatting sqref="D90">
    <cfRule type="expression" dxfId="93" priority="110">
      <formula>MOD(ROW(),2)=0</formula>
    </cfRule>
  </conditionalFormatting>
  <conditionalFormatting sqref="D8">
    <cfRule type="expression" dxfId="92" priority="107">
      <formula>MOD(ROW(),2)=0</formula>
    </cfRule>
  </conditionalFormatting>
  <conditionalFormatting sqref="G8">
    <cfRule type="expression" dxfId="91" priority="106">
      <formula>MOD(ROW(),2)=0</formula>
    </cfRule>
  </conditionalFormatting>
  <conditionalFormatting sqref="D33">
    <cfRule type="expression" dxfId="90" priority="105">
      <formula>MOD(ROW(),2)=0</formula>
    </cfRule>
  </conditionalFormatting>
  <conditionalFormatting sqref="J26:L26">
    <cfRule type="expression" dxfId="89" priority="83">
      <formula>MOD(ROW(),2)=0</formula>
    </cfRule>
  </conditionalFormatting>
  <conditionalFormatting sqref="I26">
    <cfRule type="expression" dxfId="88" priority="82">
      <formula>MOD(ROW(),2)=0</formula>
    </cfRule>
  </conditionalFormatting>
  <conditionalFormatting sqref="BT78">
    <cfRule type="expression" dxfId="87" priority="81">
      <formula>MOD(ROW(),2)=0</formula>
    </cfRule>
  </conditionalFormatting>
  <conditionalFormatting sqref="BS78">
    <cfRule type="expression" dxfId="86" priority="80">
      <formula>MOD(ROW(),2)=0</formula>
    </cfRule>
  </conditionalFormatting>
  <conditionalFormatting sqref="D79">
    <cfRule type="expression" dxfId="85" priority="78">
      <formula>MOD(ROW(),2)=0</formula>
    </cfRule>
  </conditionalFormatting>
  <conditionalFormatting sqref="E79:F79">
    <cfRule type="expression" dxfId="84" priority="76">
      <formula>MOD(ROW(),2)=0</formula>
    </cfRule>
  </conditionalFormatting>
  <conditionalFormatting sqref="E79:F79">
    <cfRule type="expression" dxfId="83" priority="75">
      <formula>MOD(ROW(),2)=0</formula>
    </cfRule>
  </conditionalFormatting>
  <conditionalFormatting sqref="BT79">
    <cfRule type="expression" dxfId="82" priority="74">
      <formula>MOD(ROW(),2)=0</formula>
    </cfRule>
  </conditionalFormatting>
  <conditionalFormatting sqref="BS79">
    <cfRule type="expression" dxfId="81" priority="73">
      <formula>MOD(ROW(),2)=0</formula>
    </cfRule>
  </conditionalFormatting>
  <conditionalFormatting sqref="BT80:BT81">
    <cfRule type="expression" dxfId="80" priority="71">
      <formula>MOD(ROW(),2)=0</formula>
    </cfRule>
  </conditionalFormatting>
  <conditionalFormatting sqref="BS80:BS81">
    <cfRule type="expression" dxfId="79" priority="70">
      <formula>MOD(ROW(),2)=0</formula>
    </cfRule>
  </conditionalFormatting>
  <conditionalFormatting sqref="D80:D81">
    <cfRule type="expression" dxfId="78" priority="68">
      <formula>MOD(ROW(),2)=0</formula>
    </cfRule>
  </conditionalFormatting>
  <conditionalFormatting sqref="E80:E81">
    <cfRule type="expression" dxfId="77" priority="67">
      <formula>MOD(ROW(),2)=0</formula>
    </cfRule>
  </conditionalFormatting>
  <conditionalFormatting sqref="E80:E81">
    <cfRule type="expression" dxfId="76" priority="66">
      <formula>MOD(ROW(),2)=0</formula>
    </cfRule>
  </conditionalFormatting>
  <conditionalFormatting sqref="F80:F81">
    <cfRule type="expression" dxfId="75" priority="65">
      <formula>MOD(ROW(),2)=0</formula>
    </cfRule>
  </conditionalFormatting>
  <conditionalFormatting sqref="G80:G81">
    <cfRule type="expression" dxfId="74" priority="64">
      <formula>MOD(ROW(),2)=0</formula>
    </cfRule>
  </conditionalFormatting>
  <conditionalFormatting sqref="D4">
    <cfRule type="expression" dxfId="73" priority="63">
      <formula>MOD(ROW(),2)=0</formula>
    </cfRule>
  </conditionalFormatting>
  <conditionalFormatting sqref="BW92 BW109:BW110 BW106:BW107 BW4:BW77">
    <cfRule type="expression" dxfId="72" priority="62">
      <formula>MOD(ROW(),2)=0</formula>
    </cfRule>
  </conditionalFormatting>
  <conditionalFormatting sqref="BW93:BW94">
    <cfRule type="expression" dxfId="71" priority="61">
      <formula>MOD(ROW(),2)=0</formula>
    </cfRule>
  </conditionalFormatting>
  <conditionalFormatting sqref="BW108">
    <cfRule type="expression" dxfId="70" priority="60">
      <formula>MOD(ROW(),2)=0</formula>
    </cfRule>
  </conditionalFormatting>
  <conditionalFormatting sqref="BW84">
    <cfRule type="expression" dxfId="69" priority="59">
      <formula>MOD(ROW(),2)=0</formula>
    </cfRule>
  </conditionalFormatting>
  <conditionalFormatting sqref="BW78">
    <cfRule type="expression" dxfId="68" priority="58">
      <formula>MOD(ROW(),2)=0</formula>
    </cfRule>
  </conditionalFormatting>
  <conditionalFormatting sqref="BW80:BW81">
    <cfRule type="expression" dxfId="67" priority="56">
      <formula>MOD(ROW(),2)=0</formula>
    </cfRule>
  </conditionalFormatting>
  <conditionalFormatting sqref="D19">
    <cfRule type="expression" dxfId="66" priority="40">
      <formula>MOD(ROW(),2)=0</formula>
    </cfRule>
  </conditionalFormatting>
  <conditionalFormatting sqref="BW79">
    <cfRule type="expression" dxfId="65" priority="39">
      <formula>MOD(ROW(),2)=0</formula>
    </cfRule>
  </conditionalFormatting>
  <conditionalFormatting sqref="G30">
    <cfRule type="expression" dxfId="64" priority="37">
      <formula>MOD(ROW(),2)=0</formula>
    </cfRule>
  </conditionalFormatting>
  <conditionalFormatting sqref="BT85 BQ85:BR85 B85 G85:P85">
    <cfRule type="expression" dxfId="63" priority="36">
      <formula>MOD(ROW(),2)=0</formula>
    </cfRule>
  </conditionalFormatting>
  <conditionalFormatting sqref="C85">
    <cfRule type="expression" dxfId="62" priority="35">
      <formula>MOD(ROW(),2)=0</formula>
    </cfRule>
  </conditionalFormatting>
  <conditionalFormatting sqref="BS85">
    <cfRule type="expression" dxfId="61" priority="29">
      <formula>MOD(ROW(),2)=0</formula>
    </cfRule>
  </conditionalFormatting>
  <conditionalFormatting sqref="AN85:BI85">
    <cfRule type="colorScale" priority="30">
      <colorScale>
        <cfvo type="min"/>
        <cfvo type="max"/>
        <color rgb="FFFFEF9C"/>
        <color rgb="FF63BE7B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5">
    <cfRule type="expression" dxfId="60" priority="28">
      <formula>MOD(ROW(),2)=0</formula>
    </cfRule>
  </conditionalFormatting>
  <conditionalFormatting sqref="E85:F85">
    <cfRule type="expression" dxfId="59" priority="27">
      <formula>MOD(ROW(),2)=0</formula>
    </cfRule>
  </conditionalFormatting>
  <conditionalFormatting sqref="BW85">
    <cfRule type="expression" dxfId="58" priority="26">
      <formula>MOD(ROW(),2)=0</formula>
    </cfRule>
  </conditionalFormatting>
  <conditionalFormatting sqref="G92">
    <cfRule type="expression" dxfId="57" priority="24">
      <formula>MOD(ROW(),2)=0</formula>
    </cfRule>
  </conditionalFormatting>
  <conditionalFormatting sqref="B111 BT111 BQ111:BR111 D111:P111">
    <cfRule type="expression" dxfId="56" priority="23">
      <formula>MOD(ROW(),2)=0</formula>
    </cfRule>
  </conditionalFormatting>
  <conditionalFormatting sqref="C111">
    <cfRule type="expression" dxfId="55" priority="22">
      <formula>MOD(ROW(),2)=0</formula>
    </cfRule>
  </conditionalFormatting>
  <conditionalFormatting sqref="B111 D111">
    <cfRule type="expression" dxfId="54" priority="21">
      <formula>MOD(ROW(),2)=0</formula>
    </cfRule>
  </conditionalFormatting>
  <conditionalFormatting sqref="Q111">
    <cfRule type="expression" dxfId="53" priority="20">
      <formula>MOD(ROW(),2)=0</formula>
    </cfRule>
  </conditionalFormatting>
  <conditionalFormatting sqref="Q111">
    <cfRule type="expression" dxfId="52" priority="19">
      <formula>MOD(ROW(),2)=0</formula>
    </cfRule>
  </conditionalFormatting>
  <conditionalFormatting sqref="A111">
    <cfRule type="expression" dxfId="51" priority="18">
      <formula>MOD(ROW(),2)=0</formula>
    </cfRule>
  </conditionalFormatting>
  <conditionalFormatting sqref="A111">
    <cfRule type="expression" dxfId="50" priority="17">
      <formula>MOD(ROW(),2)=0</formula>
    </cfRule>
  </conditionalFormatting>
  <conditionalFormatting sqref="BS111">
    <cfRule type="expression" dxfId="49" priority="13">
      <formula>MOD(ROW(),2)=0</formula>
    </cfRule>
  </conditionalFormatting>
  <conditionalFormatting sqref="AN111:BI111">
    <cfRule type="colorScale" priority="14">
      <colorScale>
        <cfvo type="min"/>
        <cfvo type="max"/>
        <color rgb="FFFFEF9C"/>
        <color rgb="FF63BE7B"/>
      </colorScale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W111">
    <cfRule type="expression" dxfId="48" priority="12">
      <formula>MOD(ROW(),2)=0</formula>
    </cfRule>
  </conditionalFormatting>
  <conditionalFormatting sqref="G68:H68">
    <cfRule type="expression" dxfId="47" priority="6">
      <formula>MOD(ROW(),2)=0</formula>
    </cfRule>
  </conditionalFormatting>
  <conditionalFormatting sqref="I68">
    <cfRule type="expression" dxfId="46" priority="5">
      <formula>MOD(ROW(),2)=0</formula>
    </cfRule>
  </conditionalFormatting>
  <conditionalFormatting sqref="BJ4:BP111">
    <cfRule type="colorScale" priority="4">
      <colorScale>
        <cfvo type="min"/>
        <cfvo type="max"/>
        <color rgb="FFFFEF9C"/>
        <color rgb="FF63BE7B"/>
      </colorScale>
    </cfRule>
  </conditionalFormatting>
  <conditionalFormatting sqref="E4:F68">
    <cfRule type="expression" dxfId="45" priority="1">
      <formula>MOD(ROW(),2)=0</formula>
    </cfRule>
  </conditionalFormatting>
  <pageMargins left="0.7" right="0.7" top="0.75" bottom="0.75" header="0.3" footer="0.3"/>
  <pageSetup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Maintenance</vt:lpstr>
      <vt:lpstr>TIP_Oct21</vt:lpstr>
      <vt:lpstr>Completed</vt:lpstr>
      <vt:lpstr>dropped</vt:lpstr>
      <vt:lpstr>MTP_points</vt:lpstr>
      <vt:lpstr>MTP_lines-polygons</vt:lpstr>
      <vt:lpstr>PLOTtable</vt:lpstr>
      <vt:lpstr>EvalCrit</vt:lpstr>
      <vt:lpstr>PRIORITIZATION</vt:lpstr>
      <vt:lpstr>UnitCostEst</vt:lpstr>
      <vt:lpstr>Tiers</vt:lpstr>
      <vt:lpstr>AppC1</vt:lpstr>
      <vt:lpstr>dropped!_ednref1</vt:lpstr>
      <vt:lpstr>dropped!_ednref2</vt:lpstr>
      <vt:lpstr>dropped!_ednref3</vt:lpstr>
      <vt:lpstr>dropped!_Hlk54792848</vt:lpstr>
      <vt:lpstr>AppC1!Print_Area</vt:lpstr>
      <vt:lpstr>PLOTtable!Print_Area</vt:lpstr>
      <vt:lpstr>Tiers!Print_Area</vt:lpstr>
      <vt:lpstr>Tiers!Print_Titles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Tresohlavy, Timothy</dc:creator>
  <cp:lastModifiedBy>Jessica</cp:lastModifiedBy>
  <cp:lastPrinted>2022-03-25T20:29:36Z</cp:lastPrinted>
  <dcterms:created xsi:type="dcterms:W3CDTF">2021-10-14T21:08:54Z</dcterms:created>
  <dcterms:modified xsi:type="dcterms:W3CDTF">2022-03-26T17:15:49Z</dcterms:modified>
</cp:coreProperties>
</file>